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DieseArbeitsmappe"/>
  <mc:AlternateContent xmlns:mc="http://schemas.openxmlformats.org/markup-compatibility/2006">
    <mc:Choice Requires="x15">
      <x15ac:absPath xmlns:x15ac="http://schemas.microsoft.com/office/spreadsheetml/2010/11/ac" url="P:\30909_KWV_NRW_Aktualisierung PS2\6-Tool\05-KWV 2026\HAW\"/>
    </mc:Choice>
  </mc:AlternateContent>
  <xr:revisionPtr revIDLastSave="0" documentId="13_ncr:1_{7E6D759D-B3B3-4C12-AD46-1FF8DC07007D}" xr6:coauthVersionLast="47" xr6:coauthVersionMax="47" xr10:uidLastSave="{00000000-0000-0000-0000-000000000000}"/>
  <bookViews>
    <workbookView xWindow="-38520" yWindow="-16470" windowWidth="38640" windowHeight="21120" tabRatio="928" xr2:uid="{00000000-000D-0000-FFFF-FFFF00000000}"/>
  </bookViews>
  <sheets>
    <sheet name="HAW" sheetId="72" r:id="rId1"/>
    <sheet name="HAW-Kennwerte" sheetId="40" r:id="rId2"/>
    <sheet name="Labor-Typen" sheetId="79" r:id="rId3"/>
    <sheet name="HAW-Kennwerte_ZE" sheetId="68" r:id="rId4"/>
    <sheet name="Auslast_Büro" sheetId="70" r:id="rId5"/>
    <sheet name="Bedarf gesamt" sheetId="62" r:id="rId6"/>
    <sheet name="Bedarf gesamt (2)" sheetId="73" r:id="rId7"/>
    <sheet name="Naturwiss" sheetId="37" r:id="rId8"/>
    <sheet name="Mathe" sheetId="63" r:id="rId9"/>
    <sheet name="Arch" sheetId="60" r:id="rId10"/>
    <sheet name="Bauing" sheetId="59" r:id="rId11"/>
    <sheet name="E-I-Technik" sheetId="47" r:id="rId12"/>
    <sheet name="Informatik" sheetId="65" r:id="rId13"/>
    <sheet name="Maschbau" sheetId="64" r:id="rId14"/>
    <sheet name="Wi-ing" sheetId="66" r:id="rId15"/>
    <sheet name="Design" sheetId="39" r:id="rId16"/>
    <sheet name="Ernährung" sheetId="67" r:id="rId17"/>
    <sheet name="Gesund" sheetId="52" r:id="rId18"/>
    <sheet name="Sowi" sheetId="53" r:id="rId19"/>
    <sheet name="Wiwi" sheetId="55" r:id="rId20"/>
    <sheet name="Verwaltung" sheetId="50" r:id="rId21"/>
    <sheet name="Bibliothek" sheetId="69" r:id="rId22"/>
    <sheet name="Checkliste" sheetId="80" r:id="rId23"/>
    <sheet name="StPl-Berechnung" sheetId="74" r:id="rId24"/>
    <sheet name="StPl-Summen" sheetId="75" r:id="rId25"/>
    <sheet name="KWV-NB und RNS" sheetId="77" r:id="rId26"/>
    <sheet name="KWV-NB Key" sheetId="76" r:id="rId27"/>
  </sheets>
  <definedNames>
    <definedName name="_xlnm._FilterDatabase" localSheetId="26" hidden="1">'KWV-NB Key'!#REF!</definedName>
    <definedName name="_xlnm._FilterDatabase" localSheetId="25" hidden="1">'KWV-NB und RNS'!$A$3:$C$272</definedName>
    <definedName name="_xlnm.Print_Area" localSheetId="9">Arch!$A$1:$T$93</definedName>
    <definedName name="_xlnm.Print_Area" localSheetId="4">Auslast_Büro!$A$1:$J$33</definedName>
    <definedName name="_xlnm.Print_Area" localSheetId="10">Bauing!$A$1:$T$93</definedName>
    <definedName name="_xlnm.Print_Area" localSheetId="5">'Bedarf gesamt'!$A$1:$Q$53</definedName>
    <definedName name="_xlnm.Print_Area" localSheetId="6">'Bedarf gesamt (2)'!$A$3:$Q$66</definedName>
    <definedName name="_xlnm.Print_Area" localSheetId="21">Bibliothek!$A$1:$R$73</definedName>
    <definedName name="_xlnm.Print_Area" localSheetId="15">Design!$A$1:$T$93</definedName>
    <definedName name="_xlnm.Print_Area" localSheetId="11">'E-I-Technik'!$A$1:$T$93</definedName>
    <definedName name="_xlnm.Print_Area" localSheetId="16">Ernährung!$A$1:$T$93</definedName>
    <definedName name="_xlnm.Print_Area" localSheetId="17">Gesund!$A$1:$T$93</definedName>
    <definedName name="_xlnm.Print_Area" localSheetId="0">HAW!$A$1:$I$28</definedName>
    <definedName name="_xlnm.Print_Area" localSheetId="1">'HAW-Kennwerte'!$A$1:$AA$33</definedName>
    <definedName name="_xlnm.Print_Area" localSheetId="3">'HAW-Kennwerte_ZE'!$A$1:$M$32</definedName>
    <definedName name="_xlnm.Print_Area" localSheetId="12">Informatik!$A$1:$T$93</definedName>
    <definedName name="_xlnm.Print_Area" localSheetId="26">'KWV-NB Key'!$A$3:$C$32</definedName>
    <definedName name="_xlnm.Print_Area" localSheetId="25">'KWV-NB und RNS'!$A$3:$D$279</definedName>
    <definedName name="_xlnm.Print_Area" localSheetId="2">'Labor-Typen'!$A$1:$E$26</definedName>
    <definedName name="_xlnm.Print_Area" localSheetId="13">Maschbau!$A$1:$T$93</definedName>
    <definedName name="_xlnm.Print_Area" localSheetId="8">Mathe!$A$1:$T$93</definedName>
    <definedName name="_xlnm.Print_Area" localSheetId="7">Naturwiss!$A$1:$T$93</definedName>
    <definedName name="_xlnm.Print_Area" localSheetId="18">Sowi!$A$1:$T$93</definedName>
    <definedName name="_xlnm.Print_Area" localSheetId="23">'StPl-Berechnung'!$A$4:$U$306</definedName>
    <definedName name="_xlnm.Print_Area" localSheetId="24">'StPl-Summen'!$A$4:$F$30</definedName>
    <definedName name="_xlnm.Print_Area" localSheetId="20">Verwaltung!$A$1:$R$46</definedName>
    <definedName name="_xlnm.Print_Area" localSheetId="14">'Wi-ing'!$A$1:$T$93</definedName>
    <definedName name="_xlnm.Print_Area" localSheetId="19">Wiwi!$A$1:$T$93</definedName>
    <definedName name="_xlnm.Print_Titles" localSheetId="25">'KWV-NB und RNS'!$3:$4</definedName>
    <definedName name="Z_E6533001_7799_4C24_B6E9_60CC28B915B7_.wvu.Cols" localSheetId="21" hidden="1">Bibliothek!$R:$X</definedName>
    <definedName name="Z_E6533001_7799_4C24_B6E9_60CC28B915B7_.wvu.Cols" localSheetId="20" hidden="1">Verwaltung!$R:$W</definedName>
    <definedName name="Z_E6533001_7799_4C24_B6E9_60CC28B915B7_.wvu.PrintArea" localSheetId="9" hidden="1">Arch!$A$1:$T$93</definedName>
    <definedName name="Z_E6533001_7799_4C24_B6E9_60CC28B915B7_.wvu.PrintArea" localSheetId="4" hidden="1">Auslast_Büro!$A$1:$J$25</definedName>
    <definedName name="Z_E6533001_7799_4C24_B6E9_60CC28B915B7_.wvu.PrintArea" localSheetId="10" hidden="1">Bauing!$A$1:$T$93</definedName>
    <definedName name="Z_E6533001_7799_4C24_B6E9_60CC28B915B7_.wvu.PrintArea" localSheetId="5" hidden="1">'Bedarf gesamt'!$C$1:$N$54</definedName>
    <definedName name="Z_E6533001_7799_4C24_B6E9_60CC28B915B7_.wvu.PrintArea" localSheetId="6" hidden="1">'Bedarf gesamt (2)'!$C$3:$N$67</definedName>
    <definedName name="Z_E6533001_7799_4C24_B6E9_60CC28B915B7_.wvu.PrintArea" localSheetId="21" hidden="1">Bibliothek!$A$1:$Q$51</definedName>
    <definedName name="Z_E6533001_7799_4C24_B6E9_60CC28B915B7_.wvu.PrintArea" localSheetId="15" hidden="1">Design!$A$1:$T$93</definedName>
    <definedName name="Z_E6533001_7799_4C24_B6E9_60CC28B915B7_.wvu.PrintArea" localSheetId="11" hidden="1">'E-I-Technik'!$A$1:$T$93</definedName>
    <definedName name="Z_E6533001_7799_4C24_B6E9_60CC28B915B7_.wvu.PrintArea" localSheetId="16" hidden="1">Ernährung!$A$1:$T$93</definedName>
    <definedName name="Z_E6533001_7799_4C24_B6E9_60CC28B915B7_.wvu.PrintArea" localSheetId="17" hidden="1">Gesund!$A$1:$T$93</definedName>
    <definedName name="Z_E6533001_7799_4C24_B6E9_60CC28B915B7_.wvu.PrintArea" localSheetId="0" hidden="1">HAW!$A$1:$F$26</definedName>
    <definedName name="Z_E6533001_7799_4C24_B6E9_60CC28B915B7_.wvu.PrintArea" localSheetId="1" hidden="1">'HAW-Kennwerte'!$A$1:$AA$30</definedName>
    <definedName name="Z_E6533001_7799_4C24_B6E9_60CC28B915B7_.wvu.PrintArea" localSheetId="3" hidden="1">'HAW-Kennwerte_ZE'!$A$1:$N$32</definedName>
    <definedName name="Z_E6533001_7799_4C24_B6E9_60CC28B915B7_.wvu.PrintArea" localSheetId="12" hidden="1">Informatik!$A$1:$T$93</definedName>
    <definedName name="Z_E6533001_7799_4C24_B6E9_60CC28B915B7_.wvu.PrintArea" localSheetId="2" hidden="1">'Labor-Typen'!$A$1:$E$24</definedName>
    <definedName name="Z_E6533001_7799_4C24_B6E9_60CC28B915B7_.wvu.PrintArea" localSheetId="13" hidden="1">Maschbau!$A$1:$T$93</definedName>
    <definedName name="Z_E6533001_7799_4C24_B6E9_60CC28B915B7_.wvu.PrintArea" localSheetId="8" hidden="1">Mathe!$A$1:$T$93</definedName>
    <definedName name="Z_E6533001_7799_4C24_B6E9_60CC28B915B7_.wvu.PrintArea" localSheetId="7" hidden="1">Naturwiss!$A$1:$T$93</definedName>
    <definedName name="Z_E6533001_7799_4C24_B6E9_60CC28B915B7_.wvu.PrintArea" localSheetId="18" hidden="1">Sowi!$A$1:$T$93</definedName>
    <definedName name="Z_E6533001_7799_4C24_B6E9_60CC28B915B7_.wvu.PrintArea" localSheetId="20" hidden="1">Verwaltung!$A$1:$Q$59</definedName>
    <definedName name="Z_E6533001_7799_4C24_B6E9_60CC28B915B7_.wvu.PrintArea" localSheetId="14" hidden="1">'Wi-ing'!$A$1:$T$93</definedName>
    <definedName name="Z_E6533001_7799_4C24_B6E9_60CC28B915B7_.wvu.PrintArea" localSheetId="19" hidden="1">Wiwi!$A$1:$T$93</definedName>
    <definedName name="Z_E6533001_7799_4C24_B6E9_60CC28B915B7_.wvu.Rows" localSheetId="3" hidden="1">'HAW-Kennwerte_ZE'!#REF!,'HAW-Kennwerte_ZE'!$21:$21,'HAW-Kennwerte_ZE'!$31:$31</definedName>
  </definedNames>
  <calcPr calcId="191029"/>
  <customWorkbookViews>
    <customWorkbookView name="Wünsche, Susan - Persönliche Ansicht" guid="{E6533001-7799-4C24-B6E9-60CC28B915B7}" mergeInterval="0" personalView="1" maximized="1" windowWidth="2560" windowHeight="834" tabRatio="955" activeSheetId="3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62" l="1"/>
  <c r="E25" i="59" l="1"/>
  <c r="E25" i="37"/>
  <c r="A32" i="76"/>
  <c r="D279" i="77"/>
  <c r="I42" i="80"/>
  <c r="D55" i="80"/>
  <c r="R109" i="55" l="1"/>
  <c r="R110" i="55"/>
  <c r="R111" i="55"/>
  <c r="R112" i="55"/>
  <c r="R113" i="55"/>
  <c r="R114" i="55"/>
  <c r="R115" i="55"/>
  <c r="R116" i="55"/>
  <c r="R117" i="55"/>
  <c r="R118" i="55"/>
  <c r="R119" i="55"/>
  <c r="R120" i="55"/>
  <c r="R121" i="55"/>
  <c r="R122" i="55"/>
  <c r="R123" i="55"/>
  <c r="R124" i="55"/>
  <c r="R125" i="55"/>
  <c r="R126" i="55"/>
  <c r="R109" i="66"/>
  <c r="R110" i="66"/>
  <c r="R111" i="66"/>
  <c r="R112" i="66"/>
  <c r="R113" i="66"/>
  <c r="R114" i="66"/>
  <c r="R115" i="66"/>
  <c r="R116" i="66"/>
  <c r="R117" i="66"/>
  <c r="R118" i="66"/>
  <c r="R119" i="66"/>
  <c r="R120" i="66"/>
  <c r="R121" i="66"/>
  <c r="R122" i="66"/>
  <c r="R123" i="66"/>
  <c r="R124" i="66"/>
  <c r="R125" i="66"/>
  <c r="R126" i="66"/>
  <c r="R109" i="60"/>
  <c r="R110" i="60"/>
  <c r="R111" i="60"/>
  <c r="R112" i="60"/>
  <c r="R113" i="60"/>
  <c r="R114" i="60"/>
  <c r="R115" i="60"/>
  <c r="R116" i="60"/>
  <c r="R117" i="60"/>
  <c r="R118" i="60"/>
  <c r="R119" i="60"/>
  <c r="R120" i="60"/>
  <c r="R121" i="60"/>
  <c r="R122" i="60"/>
  <c r="R123" i="60"/>
  <c r="R124" i="60"/>
  <c r="R125" i="60"/>
  <c r="R126" i="60"/>
  <c r="R109" i="63"/>
  <c r="R110" i="63"/>
  <c r="R111" i="63"/>
  <c r="R112" i="63"/>
  <c r="R113" i="63"/>
  <c r="R114" i="63"/>
  <c r="R115" i="63"/>
  <c r="R116" i="63"/>
  <c r="R117" i="63"/>
  <c r="R118" i="63"/>
  <c r="R119" i="63"/>
  <c r="R120" i="63"/>
  <c r="R121" i="63"/>
  <c r="R122" i="63"/>
  <c r="R123" i="63"/>
  <c r="R124" i="63"/>
  <c r="R125" i="63"/>
  <c r="R126" i="63"/>
  <c r="E29" i="75"/>
  <c r="D29" i="75"/>
  <c r="C29" i="75"/>
  <c r="B29" i="75"/>
  <c r="E28" i="75"/>
  <c r="D28" i="75"/>
  <c r="C28" i="75"/>
  <c r="B28" i="75"/>
  <c r="E27" i="75"/>
  <c r="D27" i="75"/>
  <c r="C27" i="75"/>
  <c r="B27" i="75"/>
  <c r="E26" i="75"/>
  <c r="D26" i="75"/>
  <c r="C26" i="75"/>
  <c r="B26" i="75"/>
  <c r="E25" i="75"/>
  <c r="D25" i="75"/>
  <c r="C25" i="75"/>
  <c r="B25" i="75"/>
  <c r="E24" i="75"/>
  <c r="D24" i="75"/>
  <c r="C24" i="75"/>
  <c r="B24" i="75"/>
  <c r="E23" i="75"/>
  <c r="D23" i="75"/>
  <c r="C23" i="75"/>
  <c r="B23" i="75"/>
  <c r="E22" i="75"/>
  <c r="D22" i="75"/>
  <c r="C22" i="75"/>
  <c r="B22" i="75"/>
  <c r="E21" i="75"/>
  <c r="D21" i="75"/>
  <c r="C21" i="75"/>
  <c r="B21" i="75"/>
  <c r="E20" i="75"/>
  <c r="D20" i="75"/>
  <c r="C20" i="75"/>
  <c r="B20" i="75"/>
  <c r="E19" i="75"/>
  <c r="D19" i="75"/>
  <c r="C19" i="75"/>
  <c r="B19" i="75"/>
  <c r="E18" i="75"/>
  <c r="D18" i="75"/>
  <c r="C18" i="75"/>
  <c r="B18" i="75"/>
  <c r="E17" i="75"/>
  <c r="D17" i="75"/>
  <c r="C17" i="75"/>
  <c r="B17" i="75"/>
  <c r="E16" i="75"/>
  <c r="D16" i="75"/>
  <c r="C16" i="75"/>
  <c r="B16" i="75"/>
  <c r="E15" i="75"/>
  <c r="D15" i="75"/>
  <c r="C15" i="75"/>
  <c r="B15" i="75"/>
  <c r="E14" i="75"/>
  <c r="D14" i="75"/>
  <c r="C14" i="75"/>
  <c r="B14" i="75"/>
  <c r="E13" i="75"/>
  <c r="D13" i="75"/>
  <c r="C13" i="75"/>
  <c r="B13" i="75"/>
  <c r="E12" i="75"/>
  <c r="D12" i="75"/>
  <c r="C12" i="75"/>
  <c r="B12" i="75"/>
  <c r="E11" i="75"/>
  <c r="D11" i="75"/>
  <c r="C11" i="75"/>
  <c r="B11" i="75"/>
  <c r="E10" i="75"/>
  <c r="D10" i="75"/>
  <c r="C10" i="75"/>
  <c r="B10" i="75"/>
  <c r="E9" i="75"/>
  <c r="D9" i="75"/>
  <c r="C9" i="75"/>
  <c r="B9" i="75"/>
  <c r="E8" i="75"/>
  <c r="D8" i="75"/>
  <c r="C8" i="75"/>
  <c r="B8" i="75"/>
  <c r="E7" i="75"/>
  <c r="D7" i="75"/>
  <c r="C7" i="75"/>
  <c r="B7" i="75"/>
  <c r="E6" i="75"/>
  <c r="D6" i="75"/>
  <c r="C6" i="75"/>
  <c r="B6" i="75"/>
  <c r="U306" i="74"/>
  <c r="S306" i="74"/>
  <c r="P306" i="74"/>
  <c r="N306" i="74"/>
  <c r="I306" i="74"/>
  <c r="S305" i="74"/>
  <c r="N305" i="74"/>
  <c r="I305" i="74"/>
  <c r="S304" i="74"/>
  <c r="N304" i="74"/>
  <c r="P304" i="74" s="1"/>
  <c r="I304" i="74"/>
  <c r="U304" i="74" s="1"/>
  <c r="U303" i="74"/>
  <c r="S303" i="74"/>
  <c r="P303" i="74"/>
  <c r="N303" i="74"/>
  <c r="I303" i="74"/>
  <c r="S302" i="74"/>
  <c r="N302" i="74"/>
  <c r="P302" i="74" s="1"/>
  <c r="I302" i="74"/>
  <c r="U302" i="74" s="1"/>
  <c r="S301" i="74"/>
  <c r="P301" i="74"/>
  <c r="N301" i="74"/>
  <c r="I301" i="74"/>
  <c r="U301" i="74" s="1"/>
  <c r="S300" i="74"/>
  <c r="P300" i="74"/>
  <c r="N300" i="74"/>
  <c r="I300" i="74"/>
  <c r="S299" i="74"/>
  <c r="P299" i="74"/>
  <c r="N299" i="74"/>
  <c r="I299" i="74"/>
  <c r="U299" i="74" s="1"/>
  <c r="U298" i="74"/>
  <c r="S298" i="74"/>
  <c r="P298" i="74"/>
  <c r="N298" i="74"/>
  <c r="I298" i="74"/>
  <c r="S297" i="74"/>
  <c r="N297" i="74"/>
  <c r="I297" i="74"/>
  <c r="S296" i="74"/>
  <c r="N296" i="74"/>
  <c r="P296" i="74" s="1"/>
  <c r="I296" i="74"/>
  <c r="U296" i="74" s="1"/>
  <c r="U295" i="74"/>
  <c r="S295" i="74"/>
  <c r="P295" i="74"/>
  <c r="N295" i="74"/>
  <c r="I295" i="74"/>
  <c r="S294" i="74"/>
  <c r="N294" i="74"/>
  <c r="P294" i="74" s="1"/>
  <c r="I294" i="74"/>
  <c r="U294" i="74" s="1"/>
  <c r="S293" i="74"/>
  <c r="P293" i="74"/>
  <c r="N293" i="74"/>
  <c r="I293" i="74"/>
  <c r="U293" i="74" s="1"/>
  <c r="S292" i="74"/>
  <c r="P292" i="74"/>
  <c r="N292" i="74"/>
  <c r="I292" i="74"/>
  <c r="S291" i="74"/>
  <c r="P291" i="74"/>
  <c r="N291" i="74"/>
  <c r="I291" i="74"/>
  <c r="U291" i="74" s="1"/>
  <c r="U290" i="74"/>
  <c r="S290" i="74"/>
  <c r="P290" i="74"/>
  <c r="N290" i="74"/>
  <c r="I290" i="74"/>
  <c r="S289" i="74"/>
  <c r="N289" i="74"/>
  <c r="I289" i="74"/>
  <c r="S288" i="74"/>
  <c r="N288" i="74"/>
  <c r="P288" i="74" s="1"/>
  <c r="I288" i="74"/>
  <c r="U288" i="74" s="1"/>
  <c r="U287" i="74"/>
  <c r="S287" i="74"/>
  <c r="P287" i="74"/>
  <c r="N287" i="74"/>
  <c r="I287" i="74"/>
  <c r="S286" i="74"/>
  <c r="N286" i="74"/>
  <c r="P286" i="74" s="1"/>
  <c r="I286" i="74"/>
  <c r="U286" i="74" s="1"/>
  <c r="S285" i="74"/>
  <c r="P285" i="74"/>
  <c r="N285" i="74"/>
  <c r="I285" i="74"/>
  <c r="U285" i="74" s="1"/>
  <c r="S284" i="74"/>
  <c r="P284" i="74"/>
  <c r="N284" i="74"/>
  <c r="I284" i="74"/>
  <c r="S283" i="74"/>
  <c r="P283" i="74"/>
  <c r="N283" i="74"/>
  <c r="I283" i="74"/>
  <c r="U283" i="74" s="1"/>
  <c r="U282" i="74"/>
  <c r="S282" i="74"/>
  <c r="P282" i="74"/>
  <c r="N282" i="74"/>
  <c r="I282" i="74"/>
  <c r="S281" i="74"/>
  <c r="N281" i="74"/>
  <c r="I281" i="74"/>
  <c r="S280" i="74"/>
  <c r="N280" i="74"/>
  <c r="P280" i="74" s="1"/>
  <c r="I280" i="74"/>
  <c r="U280" i="74" s="1"/>
  <c r="U279" i="74"/>
  <c r="S279" i="74"/>
  <c r="P279" i="74"/>
  <c r="N279" i="74"/>
  <c r="I279" i="74"/>
  <c r="S278" i="74"/>
  <c r="N278" i="74"/>
  <c r="P278" i="74" s="1"/>
  <c r="I278" i="74"/>
  <c r="U278" i="74" s="1"/>
  <c r="S277" i="74"/>
  <c r="P277" i="74"/>
  <c r="N277" i="74"/>
  <c r="I277" i="74"/>
  <c r="U277" i="74" s="1"/>
  <c r="S276" i="74"/>
  <c r="P276" i="74"/>
  <c r="N276" i="74"/>
  <c r="I276" i="74"/>
  <c r="S275" i="74"/>
  <c r="P275" i="74"/>
  <c r="N275" i="74"/>
  <c r="I275" i="74"/>
  <c r="U275" i="74" s="1"/>
  <c r="U274" i="74"/>
  <c r="S274" i="74"/>
  <c r="P274" i="74"/>
  <c r="N274" i="74"/>
  <c r="I274" i="74"/>
  <c r="S273" i="74"/>
  <c r="N273" i="74"/>
  <c r="I273" i="74"/>
  <c r="S272" i="74"/>
  <c r="N272" i="74"/>
  <c r="P272" i="74" s="1"/>
  <c r="I272" i="74"/>
  <c r="U272" i="74" s="1"/>
  <c r="U271" i="74"/>
  <c r="S271" i="74"/>
  <c r="P271" i="74"/>
  <c r="N271" i="74"/>
  <c r="I271" i="74"/>
  <c r="S270" i="74"/>
  <c r="N270" i="74"/>
  <c r="P270" i="74" s="1"/>
  <c r="I270" i="74"/>
  <c r="U270" i="74" s="1"/>
  <c r="S269" i="74"/>
  <c r="P269" i="74"/>
  <c r="N269" i="74"/>
  <c r="I269" i="74"/>
  <c r="U269" i="74" s="1"/>
  <c r="S268" i="74"/>
  <c r="P268" i="74"/>
  <c r="N268" i="74"/>
  <c r="I268" i="74"/>
  <c r="S267" i="74"/>
  <c r="P267" i="74"/>
  <c r="N267" i="74"/>
  <c r="I267" i="74"/>
  <c r="U267" i="74" s="1"/>
  <c r="U266" i="74"/>
  <c r="S266" i="74"/>
  <c r="P266" i="74"/>
  <c r="N266" i="74"/>
  <c r="I266" i="74"/>
  <c r="S265" i="74"/>
  <c r="N265" i="74"/>
  <c r="I265" i="74"/>
  <c r="S264" i="74"/>
  <c r="N264" i="74"/>
  <c r="P264" i="74" s="1"/>
  <c r="I264" i="74"/>
  <c r="U264" i="74" s="1"/>
  <c r="U263" i="74"/>
  <c r="S263" i="74"/>
  <c r="P263" i="74"/>
  <c r="N263" i="74"/>
  <c r="I263" i="74"/>
  <c r="S262" i="74"/>
  <c r="N262" i="74"/>
  <c r="P262" i="74" s="1"/>
  <c r="I262" i="74"/>
  <c r="U262" i="74" s="1"/>
  <c r="S261" i="74"/>
  <c r="N261" i="74"/>
  <c r="P261" i="74" s="1"/>
  <c r="I261" i="74"/>
  <c r="U261" i="74" s="1"/>
  <c r="S260" i="74"/>
  <c r="P260" i="74"/>
  <c r="N260" i="74"/>
  <c r="I260" i="74"/>
  <c r="S259" i="74"/>
  <c r="P259" i="74"/>
  <c r="N259" i="74"/>
  <c r="I259" i="74"/>
  <c r="U259" i="74" s="1"/>
  <c r="U258" i="74"/>
  <c r="S258" i="74"/>
  <c r="P258" i="74"/>
  <c r="N258" i="74"/>
  <c r="I258" i="74"/>
  <c r="S257" i="74"/>
  <c r="N257" i="74"/>
  <c r="I257" i="74"/>
  <c r="S256" i="74"/>
  <c r="N256" i="74"/>
  <c r="P256" i="74" s="1"/>
  <c r="I256" i="74"/>
  <c r="U255" i="74"/>
  <c r="S255" i="74"/>
  <c r="P255" i="74"/>
  <c r="N255" i="74"/>
  <c r="I255" i="74"/>
  <c r="S254" i="74"/>
  <c r="N254" i="74"/>
  <c r="P254" i="74" s="1"/>
  <c r="I254" i="74"/>
  <c r="S253" i="74"/>
  <c r="N253" i="74"/>
  <c r="P253" i="74" s="1"/>
  <c r="I253" i="74"/>
  <c r="U253" i="74" s="1"/>
  <c r="S252" i="74"/>
  <c r="P252" i="74"/>
  <c r="N252" i="74"/>
  <c r="U252" i="74" s="1"/>
  <c r="I252" i="74"/>
  <c r="S251" i="74"/>
  <c r="P251" i="74"/>
  <c r="N251" i="74"/>
  <c r="I251" i="74"/>
  <c r="U251" i="74" s="1"/>
  <c r="U250" i="74"/>
  <c r="S250" i="74"/>
  <c r="P250" i="74"/>
  <c r="N250" i="74"/>
  <c r="I250" i="74"/>
  <c r="S249" i="74"/>
  <c r="N249" i="74"/>
  <c r="I249" i="74"/>
  <c r="S248" i="74"/>
  <c r="N248" i="74"/>
  <c r="P248" i="74" s="1"/>
  <c r="I248" i="74"/>
  <c r="U247" i="74"/>
  <c r="S247" i="74"/>
  <c r="P247" i="74"/>
  <c r="N247" i="74"/>
  <c r="I247" i="74"/>
  <c r="S246" i="74"/>
  <c r="N246" i="74"/>
  <c r="P246" i="74" s="1"/>
  <c r="I246" i="74"/>
  <c r="S245" i="74"/>
  <c r="N245" i="74"/>
  <c r="P245" i="74" s="1"/>
  <c r="I245" i="74"/>
  <c r="S244" i="74"/>
  <c r="P244" i="74"/>
  <c r="N244" i="74"/>
  <c r="U244" i="74" s="1"/>
  <c r="I244" i="74"/>
  <c r="S243" i="74"/>
  <c r="P243" i="74"/>
  <c r="N243" i="74"/>
  <c r="I243" i="74"/>
  <c r="U243" i="74" s="1"/>
  <c r="U242" i="74"/>
  <c r="S242" i="74"/>
  <c r="P242" i="74"/>
  <c r="N242" i="74"/>
  <c r="I242" i="74"/>
  <c r="S241" i="74"/>
  <c r="P241" i="74"/>
  <c r="N241" i="74"/>
  <c r="I241" i="74"/>
  <c r="S240" i="74"/>
  <c r="N240" i="74"/>
  <c r="P240" i="74" s="1"/>
  <c r="I240" i="74"/>
  <c r="U240" i="74" s="1"/>
  <c r="U239" i="74"/>
  <c r="S239" i="74"/>
  <c r="P239" i="74"/>
  <c r="N239" i="74"/>
  <c r="I239" i="74"/>
  <c r="S238" i="74"/>
  <c r="N238" i="74"/>
  <c r="P238" i="74" s="1"/>
  <c r="I238" i="74"/>
  <c r="U238" i="74" s="1"/>
  <c r="S237" i="74"/>
  <c r="N237" i="74"/>
  <c r="P237" i="74" s="1"/>
  <c r="I237" i="74"/>
  <c r="U237" i="74" s="1"/>
  <c r="S236" i="74"/>
  <c r="P236" i="74"/>
  <c r="N236" i="74"/>
  <c r="I236" i="74"/>
  <c r="S235" i="74"/>
  <c r="P235" i="74"/>
  <c r="N235" i="74"/>
  <c r="I235" i="74"/>
  <c r="U235" i="74" s="1"/>
  <c r="U234" i="74"/>
  <c r="S234" i="74"/>
  <c r="N234" i="74"/>
  <c r="P234" i="74" s="1"/>
  <c r="I234" i="74"/>
  <c r="S233" i="74"/>
  <c r="P233" i="74"/>
  <c r="N233" i="74"/>
  <c r="I233" i="74"/>
  <c r="S232" i="74"/>
  <c r="N232" i="74"/>
  <c r="P232" i="74" s="1"/>
  <c r="I232" i="74"/>
  <c r="U231" i="74"/>
  <c r="S231" i="74"/>
  <c r="P231" i="74"/>
  <c r="N231" i="74"/>
  <c r="I231" i="74"/>
  <c r="S230" i="74"/>
  <c r="N230" i="74"/>
  <c r="P230" i="74" s="1"/>
  <c r="I230" i="74"/>
  <c r="S229" i="74"/>
  <c r="N229" i="74"/>
  <c r="P229" i="74" s="1"/>
  <c r="I229" i="74"/>
  <c r="S228" i="74"/>
  <c r="P228" i="74"/>
  <c r="N228" i="74"/>
  <c r="I228" i="74"/>
  <c r="S227" i="74"/>
  <c r="P227" i="74"/>
  <c r="N227" i="74"/>
  <c r="I227" i="74"/>
  <c r="U227" i="74" s="1"/>
  <c r="U226" i="74"/>
  <c r="S226" i="74"/>
  <c r="N226" i="74"/>
  <c r="P226" i="74" s="1"/>
  <c r="I226" i="74"/>
  <c r="S225" i="74"/>
  <c r="N225" i="74"/>
  <c r="P225" i="74" s="1"/>
  <c r="I225" i="74"/>
  <c r="S224" i="74"/>
  <c r="N224" i="74"/>
  <c r="P224" i="74" s="1"/>
  <c r="I224" i="74"/>
  <c r="U223" i="74"/>
  <c r="S223" i="74"/>
  <c r="P223" i="74"/>
  <c r="N223" i="74"/>
  <c r="I223" i="74"/>
  <c r="S222" i="74"/>
  <c r="N222" i="74"/>
  <c r="P222" i="74" s="1"/>
  <c r="I222" i="74"/>
  <c r="S221" i="74"/>
  <c r="P221" i="74"/>
  <c r="N221" i="74"/>
  <c r="I221" i="74"/>
  <c r="U221" i="74" s="1"/>
  <c r="S220" i="74"/>
  <c r="P220" i="74"/>
  <c r="N220" i="74"/>
  <c r="U220" i="74" s="1"/>
  <c r="I220" i="74"/>
  <c r="S219" i="74"/>
  <c r="P219" i="74"/>
  <c r="N219" i="74"/>
  <c r="I219" i="74"/>
  <c r="U219" i="74" s="1"/>
  <c r="S218" i="74"/>
  <c r="N218" i="74"/>
  <c r="P218" i="74" s="1"/>
  <c r="U218" i="74" s="1"/>
  <c r="I218" i="74"/>
  <c r="S217" i="74"/>
  <c r="N217" i="74"/>
  <c r="I217" i="74"/>
  <c r="S216" i="74"/>
  <c r="N216" i="74"/>
  <c r="P216" i="74" s="1"/>
  <c r="I216" i="74"/>
  <c r="U216" i="74" s="1"/>
  <c r="U215" i="74"/>
  <c r="S215" i="74"/>
  <c r="P215" i="74"/>
  <c r="N215" i="74"/>
  <c r="I215" i="74"/>
  <c r="S214" i="74"/>
  <c r="N214" i="74"/>
  <c r="P214" i="74" s="1"/>
  <c r="I214" i="74"/>
  <c r="U214" i="74" s="1"/>
  <c r="S213" i="74"/>
  <c r="N213" i="74"/>
  <c r="P213" i="74" s="1"/>
  <c r="I213" i="74"/>
  <c r="S212" i="74"/>
  <c r="P212" i="74"/>
  <c r="N212" i="74"/>
  <c r="I212" i="74"/>
  <c r="S211" i="74"/>
  <c r="P211" i="74"/>
  <c r="N211" i="74"/>
  <c r="I211" i="74"/>
  <c r="U211" i="74" s="1"/>
  <c r="U210" i="74"/>
  <c r="S210" i="74"/>
  <c r="N210" i="74"/>
  <c r="P210" i="74" s="1"/>
  <c r="I210" i="74"/>
  <c r="S209" i="74"/>
  <c r="N209" i="74"/>
  <c r="I209" i="74"/>
  <c r="S208" i="74"/>
  <c r="N208" i="74"/>
  <c r="P208" i="74" s="1"/>
  <c r="I208" i="74"/>
  <c r="U207" i="74"/>
  <c r="S207" i="74"/>
  <c r="P207" i="74"/>
  <c r="N207" i="74"/>
  <c r="I207" i="74"/>
  <c r="S206" i="74"/>
  <c r="N206" i="74"/>
  <c r="P206" i="74" s="1"/>
  <c r="I206" i="74"/>
  <c r="S205" i="74"/>
  <c r="N205" i="74"/>
  <c r="P205" i="74" s="1"/>
  <c r="I205" i="74"/>
  <c r="S204" i="74"/>
  <c r="P204" i="74"/>
  <c r="N204" i="74"/>
  <c r="U204" i="74" s="1"/>
  <c r="I204" i="74"/>
  <c r="S203" i="74"/>
  <c r="P203" i="74"/>
  <c r="N203" i="74"/>
  <c r="I203" i="74"/>
  <c r="U203" i="74" s="1"/>
  <c r="U202" i="74"/>
  <c r="S202" i="74"/>
  <c r="P202" i="74"/>
  <c r="N202" i="74"/>
  <c r="I202" i="74"/>
  <c r="S201" i="74"/>
  <c r="P201" i="74"/>
  <c r="N201" i="74"/>
  <c r="I201" i="74"/>
  <c r="S200" i="74"/>
  <c r="N200" i="74"/>
  <c r="P200" i="74" s="1"/>
  <c r="I200" i="74"/>
  <c r="U200" i="74" s="1"/>
  <c r="U199" i="74"/>
  <c r="S199" i="74"/>
  <c r="P199" i="74"/>
  <c r="N199" i="74"/>
  <c r="I199" i="74"/>
  <c r="S198" i="74"/>
  <c r="N198" i="74"/>
  <c r="P198" i="74" s="1"/>
  <c r="I198" i="74"/>
  <c r="U198" i="74" s="1"/>
  <c r="S197" i="74"/>
  <c r="N197" i="74"/>
  <c r="P197" i="74" s="1"/>
  <c r="I197" i="74"/>
  <c r="U197" i="74" s="1"/>
  <c r="S196" i="74"/>
  <c r="P196" i="74"/>
  <c r="N196" i="74"/>
  <c r="I196" i="74"/>
  <c r="S195" i="74"/>
  <c r="P195" i="74"/>
  <c r="N195" i="74"/>
  <c r="I195" i="74"/>
  <c r="U195" i="74" s="1"/>
  <c r="U194" i="74"/>
  <c r="S194" i="74"/>
  <c r="P194" i="74"/>
  <c r="N194" i="74"/>
  <c r="I194" i="74"/>
  <c r="S193" i="74"/>
  <c r="N193" i="74"/>
  <c r="P193" i="74" s="1"/>
  <c r="I193" i="74"/>
  <c r="S192" i="74"/>
  <c r="N192" i="74"/>
  <c r="P192" i="74" s="1"/>
  <c r="I192" i="74"/>
  <c r="U192" i="74" s="1"/>
  <c r="U191" i="74"/>
  <c r="S191" i="74"/>
  <c r="P191" i="74"/>
  <c r="N191" i="74"/>
  <c r="I191" i="74"/>
  <c r="S190" i="74"/>
  <c r="N190" i="74"/>
  <c r="P190" i="74" s="1"/>
  <c r="I190" i="74"/>
  <c r="U190" i="74" s="1"/>
  <c r="S189" i="74"/>
  <c r="N189" i="74"/>
  <c r="P189" i="74" s="1"/>
  <c r="I189" i="74"/>
  <c r="S188" i="74"/>
  <c r="P188" i="74"/>
  <c r="N188" i="74"/>
  <c r="U188" i="74" s="1"/>
  <c r="I188" i="74"/>
  <c r="S187" i="74"/>
  <c r="P187" i="74"/>
  <c r="N187" i="74"/>
  <c r="I187" i="74"/>
  <c r="U187" i="74" s="1"/>
  <c r="U186" i="74"/>
  <c r="S186" i="74"/>
  <c r="P186" i="74"/>
  <c r="N186" i="74"/>
  <c r="I186" i="74"/>
  <c r="S185" i="74"/>
  <c r="P185" i="74"/>
  <c r="N185" i="74"/>
  <c r="I185" i="74"/>
  <c r="S184" i="74"/>
  <c r="N184" i="74"/>
  <c r="P184" i="74" s="1"/>
  <c r="I184" i="74"/>
  <c r="U183" i="74"/>
  <c r="S183" i="74"/>
  <c r="P183" i="74"/>
  <c r="N183" i="74"/>
  <c r="I183" i="74"/>
  <c r="S182" i="74"/>
  <c r="N182" i="74"/>
  <c r="P182" i="74" s="1"/>
  <c r="I182" i="74"/>
  <c r="S181" i="74"/>
  <c r="P181" i="74"/>
  <c r="N181" i="74"/>
  <c r="I181" i="74"/>
  <c r="U181" i="74" s="1"/>
  <c r="S180" i="74"/>
  <c r="P180" i="74"/>
  <c r="N180" i="74"/>
  <c r="U180" i="74" s="1"/>
  <c r="I180" i="74"/>
  <c r="S179" i="74"/>
  <c r="P179" i="74"/>
  <c r="N179" i="74"/>
  <c r="I179" i="74"/>
  <c r="U179" i="74" s="1"/>
  <c r="U178" i="74"/>
  <c r="S178" i="74"/>
  <c r="P178" i="74"/>
  <c r="N178" i="74"/>
  <c r="I178" i="74"/>
  <c r="S177" i="74"/>
  <c r="P177" i="74"/>
  <c r="N177" i="74"/>
  <c r="I177" i="74"/>
  <c r="S176" i="74"/>
  <c r="N176" i="74"/>
  <c r="P176" i="74" s="1"/>
  <c r="I176" i="74"/>
  <c r="U175" i="74"/>
  <c r="S175" i="74"/>
  <c r="P175" i="74"/>
  <c r="N175" i="74"/>
  <c r="I175" i="74"/>
  <c r="S174" i="74"/>
  <c r="N174" i="74"/>
  <c r="P174" i="74" s="1"/>
  <c r="I174" i="74"/>
  <c r="S173" i="74"/>
  <c r="P173" i="74"/>
  <c r="N173" i="74"/>
  <c r="I173" i="74"/>
  <c r="U173" i="74" s="1"/>
  <c r="S172" i="74"/>
  <c r="P172" i="74"/>
  <c r="N172" i="74"/>
  <c r="U172" i="74" s="1"/>
  <c r="I172" i="74"/>
  <c r="S171" i="74"/>
  <c r="P171" i="74"/>
  <c r="N171" i="74"/>
  <c r="I171" i="74"/>
  <c r="U171" i="74" s="1"/>
  <c r="U170" i="74"/>
  <c r="S170" i="74"/>
  <c r="P170" i="74"/>
  <c r="N170" i="74"/>
  <c r="I170" i="74"/>
  <c r="S169" i="74"/>
  <c r="P169" i="74"/>
  <c r="N169" i="74"/>
  <c r="I169" i="74"/>
  <c r="S168" i="74"/>
  <c r="N168" i="74"/>
  <c r="P168" i="74" s="1"/>
  <c r="I168" i="74"/>
  <c r="U167" i="74"/>
  <c r="S167" i="74"/>
  <c r="P167" i="74"/>
  <c r="N167" i="74"/>
  <c r="I167" i="74"/>
  <c r="S166" i="74"/>
  <c r="N166" i="74"/>
  <c r="P166" i="74" s="1"/>
  <c r="I166" i="74"/>
  <c r="S165" i="74"/>
  <c r="P165" i="74"/>
  <c r="N165" i="74"/>
  <c r="I165" i="74"/>
  <c r="U165" i="74" s="1"/>
  <c r="S164" i="74"/>
  <c r="P164" i="74"/>
  <c r="N164" i="74"/>
  <c r="I164" i="74"/>
  <c r="U164" i="74" s="1"/>
  <c r="S163" i="74"/>
  <c r="P163" i="74"/>
  <c r="N163" i="74"/>
  <c r="I163" i="74"/>
  <c r="U163" i="74" s="1"/>
  <c r="U162" i="74"/>
  <c r="S162" i="74"/>
  <c r="P162" i="74"/>
  <c r="N162" i="74"/>
  <c r="I162" i="74"/>
  <c r="S161" i="74"/>
  <c r="P161" i="74"/>
  <c r="N161" i="74"/>
  <c r="I161" i="74"/>
  <c r="S160" i="74"/>
  <c r="N160" i="74"/>
  <c r="P160" i="74" s="1"/>
  <c r="I160" i="74"/>
  <c r="U159" i="74"/>
  <c r="S159" i="74"/>
  <c r="P159" i="74"/>
  <c r="N159" i="74"/>
  <c r="I159" i="74"/>
  <c r="S158" i="74"/>
  <c r="N158" i="74"/>
  <c r="P158" i="74" s="1"/>
  <c r="I158" i="74"/>
  <c r="S157" i="74"/>
  <c r="P157" i="74"/>
  <c r="N157" i="74"/>
  <c r="I157" i="74"/>
  <c r="U157" i="74" s="1"/>
  <c r="S156" i="74"/>
  <c r="P156" i="74"/>
  <c r="N156" i="74"/>
  <c r="I156" i="74"/>
  <c r="U156" i="74" s="1"/>
  <c r="S155" i="74"/>
  <c r="P155" i="74"/>
  <c r="N155" i="74"/>
  <c r="I155" i="74"/>
  <c r="U155" i="74" s="1"/>
  <c r="U154" i="74"/>
  <c r="S154" i="74"/>
  <c r="P154" i="74"/>
  <c r="N154" i="74"/>
  <c r="I154" i="74"/>
  <c r="S153" i="74"/>
  <c r="P153" i="74"/>
  <c r="N153" i="74"/>
  <c r="I153" i="74"/>
  <c r="S152" i="74"/>
  <c r="N152" i="74"/>
  <c r="P152" i="74" s="1"/>
  <c r="I152" i="74"/>
  <c r="U151" i="74"/>
  <c r="S151" i="74"/>
  <c r="P151" i="74"/>
  <c r="N151" i="74"/>
  <c r="I151" i="74"/>
  <c r="S150" i="74"/>
  <c r="N150" i="74"/>
  <c r="P150" i="74" s="1"/>
  <c r="I150" i="74"/>
  <c r="S149" i="74"/>
  <c r="P149" i="74"/>
  <c r="N149" i="74"/>
  <c r="I149" i="74"/>
  <c r="U149" i="74" s="1"/>
  <c r="S148" i="74"/>
  <c r="P148" i="74"/>
  <c r="N148" i="74"/>
  <c r="I148" i="74"/>
  <c r="U148" i="74" s="1"/>
  <c r="S147" i="74"/>
  <c r="P147" i="74"/>
  <c r="N147" i="74"/>
  <c r="I147" i="74"/>
  <c r="U147" i="74" s="1"/>
  <c r="U146" i="74"/>
  <c r="S146" i="74"/>
  <c r="P146" i="74"/>
  <c r="N146" i="74"/>
  <c r="I146" i="74"/>
  <c r="S145" i="74"/>
  <c r="P145" i="74"/>
  <c r="N145" i="74"/>
  <c r="I145" i="74"/>
  <c r="S144" i="74"/>
  <c r="N144" i="74"/>
  <c r="P144" i="74" s="1"/>
  <c r="I144" i="74"/>
  <c r="U143" i="74"/>
  <c r="S143" i="74"/>
  <c r="P143" i="74"/>
  <c r="N143" i="74"/>
  <c r="I143" i="74"/>
  <c r="S142" i="74"/>
  <c r="N142" i="74"/>
  <c r="P142" i="74" s="1"/>
  <c r="I142" i="74"/>
  <c r="S141" i="74"/>
  <c r="N141" i="74"/>
  <c r="P141" i="74" s="1"/>
  <c r="I141" i="74"/>
  <c r="S140" i="74"/>
  <c r="P140" i="74"/>
  <c r="N140" i="74"/>
  <c r="I140" i="74"/>
  <c r="S139" i="74"/>
  <c r="P139" i="74"/>
  <c r="N139" i="74"/>
  <c r="I139" i="74"/>
  <c r="U139" i="74" s="1"/>
  <c r="U138" i="74"/>
  <c r="S138" i="74"/>
  <c r="P138" i="74"/>
  <c r="N138" i="74"/>
  <c r="I138" i="74"/>
  <c r="S137" i="74"/>
  <c r="P137" i="74"/>
  <c r="N137" i="74"/>
  <c r="I137" i="74"/>
  <c r="S136" i="74"/>
  <c r="N136" i="74"/>
  <c r="P136" i="74" s="1"/>
  <c r="I136" i="74"/>
  <c r="U136" i="74" s="1"/>
  <c r="U135" i="74"/>
  <c r="S135" i="74"/>
  <c r="P135" i="74"/>
  <c r="N135" i="74"/>
  <c r="I135" i="74"/>
  <c r="S134" i="74"/>
  <c r="N134" i="74"/>
  <c r="P134" i="74" s="1"/>
  <c r="I134" i="74"/>
  <c r="U134" i="74" s="1"/>
  <c r="S133" i="74"/>
  <c r="N133" i="74"/>
  <c r="P133" i="74" s="1"/>
  <c r="I133" i="74"/>
  <c r="U133" i="74" s="1"/>
  <c r="S132" i="74"/>
  <c r="P132" i="74"/>
  <c r="N132" i="74"/>
  <c r="I132" i="74"/>
  <c r="S131" i="74"/>
  <c r="P131" i="74"/>
  <c r="N131" i="74"/>
  <c r="I131" i="74"/>
  <c r="U131" i="74" s="1"/>
  <c r="U130" i="74"/>
  <c r="S130" i="74"/>
  <c r="P130" i="74"/>
  <c r="N130" i="74"/>
  <c r="I130" i="74"/>
  <c r="S129" i="74"/>
  <c r="N129" i="74"/>
  <c r="I129" i="74"/>
  <c r="S128" i="74"/>
  <c r="N128" i="74"/>
  <c r="P128" i="74" s="1"/>
  <c r="I128" i="74"/>
  <c r="U127" i="74"/>
  <c r="S127" i="74"/>
  <c r="P127" i="74"/>
  <c r="N127" i="74"/>
  <c r="I127" i="74"/>
  <c r="S126" i="74"/>
  <c r="N126" i="74"/>
  <c r="P126" i="74" s="1"/>
  <c r="I126" i="74"/>
  <c r="S125" i="74"/>
  <c r="N125" i="74"/>
  <c r="P125" i="74" s="1"/>
  <c r="I125" i="74"/>
  <c r="U125" i="74" s="1"/>
  <c r="S124" i="74"/>
  <c r="P124" i="74"/>
  <c r="N124" i="74"/>
  <c r="I124" i="74"/>
  <c r="U124" i="74" s="1"/>
  <c r="S123" i="74"/>
  <c r="P123" i="74"/>
  <c r="N123" i="74"/>
  <c r="I123" i="74"/>
  <c r="U123" i="74" s="1"/>
  <c r="U122" i="74"/>
  <c r="S122" i="74"/>
  <c r="P122" i="74"/>
  <c r="N122" i="74"/>
  <c r="I122" i="74"/>
  <c r="S121" i="74"/>
  <c r="N121" i="74"/>
  <c r="I121" i="74"/>
  <c r="S120" i="74"/>
  <c r="N120" i="74"/>
  <c r="P120" i="74" s="1"/>
  <c r="I120" i="74"/>
  <c r="U120" i="74" s="1"/>
  <c r="U119" i="74"/>
  <c r="S119" i="74"/>
  <c r="P119" i="74"/>
  <c r="N119" i="74"/>
  <c r="I119" i="74"/>
  <c r="S118" i="74"/>
  <c r="N118" i="74"/>
  <c r="P118" i="74" s="1"/>
  <c r="I118" i="74"/>
  <c r="U118" i="74" s="1"/>
  <c r="S117" i="74"/>
  <c r="P117" i="74"/>
  <c r="N117" i="74"/>
  <c r="I117" i="74"/>
  <c r="U117" i="74" s="1"/>
  <c r="S116" i="74"/>
  <c r="P116" i="74"/>
  <c r="N116" i="74"/>
  <c r="I116" i="74"/>
  <c r="S115" i="74"/>
  <c r="P115" i="74"/>
  <c r="N115" i="74"/>
  <c r="I115" i="74"/>
  <c r="U115" i="74" s="1"/>
  <c r="U114" i="74"/>
  <c r="S114" i="74"/>
  <c r="N114" i="74"/>
  <c r="P114" i="74" s="1"/>
  <c r="I114" i="74"/>
  <c r="S113" i="74"/>
  <c r="P113" i="74"/>
  <c r="N113" i="74"/>
  <c r="I113" i="74"/>
  <c r="S112" i="74"/>
  <c r="N112" i="74"/>
  <c r="P112" i="74" s="1"/>
  <c r="I112" i="74"/>
  <c r="U111" i="74"/>
  <c r="S111" i="74"/>
  <c r="P111" i="74"/>
  <c r="N111" i="74"/>
  <c r="I111" i="74"/>
  <c r="S110" i="74"/>
  <c r="N110" i="74"/>
  <c r="P110" i="74" s="1"/>
  <c r="I110" i="74"/>
  <c r="S109" i="74"/>
  <c r="N109" i="74"/>
  <c r="P109" i="74" s="1"/>
  <c r="I109" i="74"/>
  <c r="U109" i="74" s="1"/>
  <c r="S108" i="74"/>
  <c r="P108" i="74"/>
  <c r="N108" i="74"/>
  <c r="I108" i="74"/>
  <c r="S107" i="74"/>
  <c r="P107" i="74"/>
  <c r="N107" i="74"/>
  <c r="I107" i="74"/>
  <c r="U107" i="74" s="1"/>
  <c r="S106" i="74"/>
  <c r="N106" i="74"/>
  <c r="P106" i="74" s="1"/>
  <c r="U106" i="74" s="1"/>
  <c r="I106" i="74"/>
  <c r="S105" i="74"/>
  <c r="P105" i="74"/>
  <c r="N105" i="74"/>
  <c r="I105" i="74"/>
  <c r="S104" i="74"/>
  <c r="N104" i="74"/>
  <c r="P104" i="74" s="1"/>
  <c r="I104" i="74"/>
  <c r="U104" i="74" s="1"/>
  <c r="U103" i="74"/>
  <c r="S103" i="74"/>
  <c r="P103" i="74"/>
  <c r="N103" i="74"/>
  <c r="I103" i="74"/>
  <c r="S102" i="74"/>
  <c r="N102" i="74"/>
  <c r="P102" i="74" s="1"/>
  <c r="I102" i="74"/>
  <c r="U102" i="74" s="1"/>
  <c r="S101" i="74"/>
  <c r="P101" i="74"/>
  <c r="N101" i="74"/>
  <c r="I101" i="74"/>
  <c r="U101" i="74" s="1"/>
  <c r="S100" i="74"/>
  <c r="P100" i="74"/>
  <c r="N100" i="74"/>
  <c r="I100" i="74"/>
  <c r="U100" i="74" s="1"/>
  <c r="S99" i="74"/>
  <c r="P99" i="74"/>
  <c r="N99" i="74"/>
  <c r="I99" i="74"/>
  <c r="U99" i="74" s="1"/>
  <c r="S98" i="74"/>
  <c r="N98" i="74"/>
  <c r="P98" i="74" s="1"/>
  <c r="U98" i="74" s="1"/>
  <c r="I98" i="74"/>
  <c r="S97" i="74"/>
  <c r="N97" i="74"/>
  <c r="P97" i="74" s="1"/>
  <c r="I97" i="74"/>
  <c r="S96" i="74"/>
  <c r="N96" i="74"/>
  <c r="P96" i="74" s="1"/>
  <c r="I96" i="74"/>
  <c r="U96" i="74" s="1"/>
  <c r="U95" i="74"/>
  <c r="S95" i="74"/>
  <c r="P95" i="74"/>
  <c r="N95" i="74"/>
  <c r="I95" i="74"/>
  <c r="S94" i="74"/>
  <c r="N94" i="74"/>
  <c r="P94" i="74" s="1"/>
  <c r="I94" i="74"/>
  <c r="U94" i="74" s="1"/>
  <c r="S93" i="74"/>
  <c r="P93" i="74"/>
  <c r="N93" i="74"/>
  <c r="I93" i="74"/>
  <c r="U93" i="74" s="1"/>
  <c r="S92" i="74"/>
  <c r="P92" i="74"/>
  <c r="N92" i="74"/>
  <c r="I92" i="74"/>
  <c r="U92" i="74" s="1"/>
  <c r="S91" i="74"/>
  <c r="P91" i="74"/>
  <c r="N91" i="74"/>
  <c r="I91" i="74"/>
  <c r="U91" i="74" s="1"/>
  <c r="U90" i="74"/>
  <c r="S90" i="74"/>
  <c r="N90" i="74"/>
  <c r="P90" i="74" s="1"/>
  <c r="I90" i="74"/>
  <c r="S89" i="74"/>
  <c r="P89" i="74"/>
  <c r="N89" i="74"/>
  <c r="I89" i="74"/>
  <c r="S88" i="74"/>
  <c r="N88" i="74"/>
  <c r="P88" i="74" s="1"/>
  <c r="I88" i="74"/>
  <c r="U87" i="74"/>
  <c r="S87" i="74"/>
  <c r="P87" i="74"/>
  <c r="N87" i="74"/>
  <c r="I87" i="74"/>
  <c r="S86" i="74"/>
  <c r="N86" i="74"/>
  <c r="P86" i="74" s="1"/>
  <c r="I86" i="74"/>
  <c r="S85" i="74"/>
  <c r="P85" i="74"/>
  <c r="N85" i="74"/>
  <c r="I85" i="74"/>
  <c r="U85" i="74" s="1"/>
  <c r="S84" i="74"/>
  <c r="P84" i="74"/>
  <c r="N84" i="74"/>
  <c r="I84" i="74"/>
  <c r="U84" i="74" s="1"/>
  <c r="S83" i="74"/>
  <c r="P83" i="74"/>
  <c r="N83" i="74"/>
  <c r="I83" i="74"/>
  <c r="U83" i="74" s="1"/>
  <c r="U82" i="74"/>
  <c r="S82" i="74"/>
  <c r="N82" i="74"/>
  <c r="P82" i="74" s="1"/>
  <c r="I82" i="74"/>
  <c r="S81" i="74"/>
  <c r="P81" i="74"/>
  <c r="N81" i="74"/>
  <c r="I81" i="74"/>
  <c r="S80" i="74"/>
  <c r="N80" i="74"/>
  <c r="P80" i="74" s="1"/>
  <c r="I80" i="74"/>
  <c r="U80" i="74" s="1"/>
  <c r="U79" i="74"/>
  <c r="S79" i="74"/>
  <c r="P79" i="74"/>
  <c r="N79" i="74"/>
  <c r="I79" i="74"/>
  <c r="S78" i="74"/>
  <c r="N78" i="74"/>
  <c r="P78" i="74" s="1"/>
  <c r="I78" i="74"/>
  <c r="U78" i="74" s="1"/>
  <c r="S77" i="74"/>
  <c r="P77" i="74"/>
  <c r="N77" i="74"/>
  <c r="I77" i="74"/>
  <c r="U77" i="74" s="1"/>
  <c r="S76" i="74"/>
  <c r="P76" i="74"/>
  <c r="N76" i="74"/>
  <c r="I76" i="74"/>
  <c r="S75" i="74"/>
  <c r="P75" i="74"/>
  <c r="N75" i="74"/>
  <c r="I75" i="74"/>
  <c r="U74" i="74"/>
  <c r="S74" i="74"/>
  <c r="N74" i="74"/>
  <c r="P74" i="74" s="1"/>
  <c r="I74" i="74"/>
  <c r="S73" i="74"/>
  <c r="N73" i="74"/>
  <c r="P73" i="74" s="1"/>
  <c r="I73" i="74"/>
  <c r="S72" i="74"/>
  <c r="N72" i="74"/>
  <c r="P72" i="74" s="1"/>
  <c r="I72" i="74"/>
  <c r="U71" i="74"/>
  <c r="S71" i="74"/>
  <c r="P71" i="74"/>
  <c r="N71" i="74"/>
  <c r="I71" i="74"/>
  <c r="S70" i="74"/>
  <c r="N70" i="74"/>
  <c r="P70" i="74" s="1"/>
  <c r="I70" i="74"/>
  <c r="S69" i="74"/>
  <c r="P69" i="74"/>
  <c r="N69" i="74"/>
  <c r="I69" i="74"/>
  <c r="U69" i="74" s="1"/>
  <c r="S68" i="74"/>
  <c r="P68" i="74"/>
  <c r="N68" i="74"/>
  <c r="U68" i="74" s="1"/>
  <c r="I68" i="74"/>
  <c r="S67" i="74"/>
  <c r="P67" i="74"/>
  <c r="N67" i="74"/>
  <c r="I67" i="74"/>
  <c r="U67" i="74" s="1"/>
  <c r="S66" i="74"/>
  <c r="N66" i="74"/>
  <c r="P66" i="74" s="1"/>
  <c r="U66" i="74" s="1"/>
  <c r="I66" i="74"/>
  <c r="S65" i="74"/>
  <c r="N65" i="74"/>
  <c r="I65" i="74"/>
  <c r="S64" i="74"/>
  <c r="N64" i="74"/>
  <c r="P64" i="74" s="1"/>
  <c r="I64" i="74"/>
  <c r="U63" i="74"/>
  <c r="S63" i="74"/>
  <c r="P63" i="74"/>
  <c r="N63" i="74"/>
  <c r="I63" i="74"/>
  <c r="S62" i="74"/>
  <c r="N62" i="74"/>
  <c r="P62" i="74" s="1"/>
  <c r="I62" i="74"/>
  <c r="S61" i="74"/>
  <c r="P61" i="74"/>
  <c r="N61" i="74"/>
  <c r="I61" i="74"/>
  <c r="U61" i="74" s="1"/>
  <c r="S60" i="74"/>
  <c r="P60" i="74"/>
  <c r="N60" i="74"/>
  <c r="U60" i="74" s="1"/>
  <c r="I60" i="74"/>
  <c r="S59" i="74"/>
  <c r="P59" i="74"/>
  <c r="N59" i="74"/>
  <c r="I59" i="74"/>
  <c r="U59" i="74" s="1"/>
  <c r="S58" i="74"/>
  <c r="N58" i="74"/>
  <c r="P58" i="74" s="1"/>
  <c r="U58" i="74" s="1"/>
  <c r="I58" i="74"/>
  <c r="S57" i="74"/>
  <c r="N57" i="74"/>
  <c r="I57" i="74"/>
  <c r="S56" i="74"/>
  <c r="N56" i="74"/>
  <c r="P56" i="74" s="1"/>
  <c r="I56" i="74"/>
  <c r="U55" i="74"/>
  <c r="S55" i="74"/>
  <c r="P55" i="74"/>
  <c r="N55" i="74"/>
  <c r="I55" i="74"/>
  <c r="S54" i="74"/>
  <c r="N54" i="74"/>
  <c r="P54" i="74" s="1"/>
  <c r="I54" i="74"/>
  <c r="S53" i="74"/>
  <c r="P53" i="74"/>
  <c r="N53" i="74"/>
  <c r="I53" i="74"/>
  <c r="U53" i="74" s="1"/>
  <c r="S52" i="74"/>
  <c r="P52" i="74"/>
  <c r="N52" i="74"/>
  <c r="I52" i="74"/>
  <c r="U52" i="74" s="1"/>
  <c r="S51" i="74"/>
  <c r="P51" i="74"/>
  <c r="N51" i="74"/>
  <c r="I51" i="74"/>
  <c r="U51" i="74" s="1"/>
  <c r="U50" i="74"/>
  <c r="S50" i="74"/>
  <c r="P50" i="74"/>
  <c r="N50" i="74"/>
  <c r="I50" i="74"/>
  <c r="S49" i="74"/>
  <c r="P49" i="74"/>
  <c r="N49" i="74"/>
  <c r="U49" i="74" s="1"/>
  <c r="I49" i="74"/>
  <c r="S48" i="74"/>
  <c r="N48" i="74"/>
  <c r="I48" i="74"/>
  <c r="U47" i="74"/>
  <c r="S47" i="74"/>
  <c r="P47" i="74"/>
  <c r="N47" i="74"/>
  <c r="I47" i="74"/>
  <c r="S46" i="74"/>
  <c r="N46" i="74"/>
  <c r="P46" i="74" s="1"/>
  <c r="I46" i="74"/>
  <c r="U46" i="74" s="1"/>
  <c r="S45" i="74"/>
  <c r="N45" i="74"/>
  <c r="P45" i="74" s="1"/>
  <c r="I45" i="74"/>
  <c r="U45" i="74" s="1"/>
  <c r="S44" i="74"/>
  <c r="P44" i="74"/>
  <c r="N44" i="74"/>
  <c r="I44" i="74"/>
  <c r="U44" i="74" s="1"/>
  <c r="S43" i="74"/>
  <c r="P43" i="74"/>
  <c r="N43" i="74"/>
  <c r="I43" i="74"/>
  <c r="U43" i="74" s="1"/>
  <c r="U42" i="74"/>
  <c r="S42" i="74"/>
  <c r="P42" i="74"/>
  <c r="N42" i="74"/>
  <c r="I42" i="74"/>
  <c r="S41" i="74"/>
  <c r="P41" i="74"/>
  <c r="N41" i="74"/>
  <c r="U41" i="74" s="1"/>
  <c r="I41" i="74"/>
  <c r="S40" i="74"/>
  <c r="N40" i="74"/>
  <c r="I40" i="74"/>
  <c r="U39" i="74"/>
  <c r="S39" i="74"/>
  <c r="P39" i="74"/>
  <c r="N39" i="74"/>
  <c r="I39" i="74"/>
  <c r="S38" i="74"/>
  <c r="N38" i="74"/>
  <c r="P38" i="74" s="1"/>
  <c r="I38" i="74"/>
  <c r="U38" i="74" s="1"/>
  <c r="S37" i="74"/>
  <c r="N37" i="74"/>
  <c r="P37" i="74" s="1"/>
  <c r="I37" i="74"/>
  <c r="U37" i="74" s="1"/>
  <c r="S36" i="74"/>
  <c r="P36" i="74"/>
  <c r="N36" i="74"/>
  <c r="I36" i="74"/>
  <c r="U36" i="74" s="1"/>
  <c r="S35" i="74"/>
  <c r="P35" i="74"/>
  <c r="N35" i="74"/>
  <c r="I35" i="74"/>
  <c r="U35" i="74" s="1"/>
  <c r="U34" i="74"/>
  <c r="S34" i="74"/>
  <c r="P34" i="74"/>
  <c r="N34" i="74"/>
  <c r="I34" i="74"/>
  <c r="S33" i="74"/>
  <c r="P33" i="74"/>
  <c r="N33" i="74"/>
  <c r="U33" i="74" s="1"/>
  <c r="I33" i="74"/>
  <c r="S32" i="74"/>
  <c r="N32" i="74"/>
  <c r="I32" i="74"/>
  <c r="U31" i="74"/>
  <c r="S31" i="74"/>
  <c r="P31" i="74"/>
  <c r="N31" i="74"/>
  <c r="I31" i="74"/>
  <c r="S30" i="74"/>
  <c r="N30" i="74"/>
  <c r="P30" i="74" s="1"/>
  <c r="I30" i="74"/>
  <c r="U30" i="74" s="1"/>
  <c r="S29" i="74"/>
  <c r="N29" i="74"/>
  <c r="P29" i="74" s="1"/>
  <c r="I29" i="74"/>
  <c r="U29" i="74" s="1"/>
  <c r="S28" i="74"/>
  <c r="P28" i="74"/>
  <c r="N28" i="74"/>
  <c r="I28" i="74"/>
  <c r="U28" i="74" s="1"/>
  <c r="S27" i="74"/>
  <c r="P27" i="74"/>
  <c r="N27" i="74"/>
  <c r="I27" i="74"/>
  <c r="U27" i="74" s="1"/>
  <c r="U26" i="74"/>
  <c r="S26" i="74"/>
  <c r="P26" i="74"/>
  <c r="N26" i="74"/>
  <c r="I26" i="74"/>
  <c r="S25" i="74"/>
  <c r="P25" i="74"/>
  <c r="N25" i="74"/>
  <c r="U25" i="74" s="1"/>
  <c r="I25" i="74"/>
  <c r="S24" i="74"/>
  <c r="N24" i="74"/>
  <c r="I24" i="74"/>
  <c r="U23" i="74"/>
  <c r="S23" i="74"/>
  <c r="P23" i="74"/>
  <c r="N23" i="74"/>
  <c r="I23" i="74"/>
  <c r="S22" i="74"/>
  <c r="N22" i="74"/>
  <c r="P22" i="74" s="1"/>
  <c r="I22" i="74"/>
  <c r="U22" i="74" s="1"/>
  <c r="S21" i="74"/>
  <c r="P21" i="74"/>
  <c r="N21" i="74"/>
  <c r="I21" i="74"/>
  <c r="U21" i="74" s="1"/>
  <c r="S20" i="74"/>
  <c r="P20" i="74"/>
  <c r="N20" i="74"/>
  <c r="I20" i="74"/>
  <c r="S19" i="74"/>
  <c r="P19" i="74"/>
  <c r="N19" i="74"/>
  <c r="I19" i="74"/>
  <c r="U18" i="74"/>
  <c r="S18" i="74"/>
  <c r="P18" i="74"/>
  <c r="N18" i="74"/>
  <c r="I18" i="74"/>
  <c r="U17" i="74"/>
  <c r="S17" i="74"/>
  <c r="P17" i="74"/>
  <c r="N17" i="74"/>
  <c r="I17" i="74"/>
  <c r="S16" i="74"/>
  <c r="N16" i="74"/>
  <c r="I16" i="74"/>
  <c r="U15" i="74"/>
  <c r="S15" i="74"/>
  <c r="P15" i="74"/>
  <c r="N15" i="74"/>
  <c r="I15" i="74"/>
  <c r="S14" i="74"/>
  <c r="N14" i="74"/>
  <c r="P14" i="74" s="1"/>
  <c r="I14" i="74"/>
  <c r="S13" i="74"/>
  <c r="P13" i="74"/>
  <c r="N13" i="74"/>
  <c r="I13" i="74"/>
  <c r="U13" i="74" s="1"/>
  <c r="S12" i="74"/>
  <c r="P12" i="74"/>
  <c r="N12" i="74"/>
  <c r="I12" i="74"/>
  <c r="U12" i="74" s="1"/>
  <c r="S11" i="74"/>
  <c r="P11" i="74"/>
  <c r="N11" i="74"/>
  <c r="I11" i="74"/>
  <c r="U10" i="74"/>
  <c r="S10" i="74"/>
  <c r="P10" i="74"/>
  <c r="N10" i="74"/>
  <c r="I10" i="74"/>
  <c r="S9" i="74"/>
  <c r="N9" i="74"/>
  <c r="P9" i="74" s="1"/>
  <c r="U9" i="74" s="1"/>
  <c r="I9" i="74"/>
  <c r="S8" i="74"/>
  <c r="N8" i="74"/>
  <c r="I8" i="74"/>
  <c r="U7" i="74"/>
  <c r="S7" i="74"/>
  <c r="P7" i="74"/>
  <c r="N7" i="74"/>
  <c r="I7" i="74"/>
  <c r="F20" i="75" l="1"/>
  <c r="F10" i="75"/>
  <c r="F16" i="75"/>
  <c r="F18" i="75"/>
  <c r="F29" i="75"/>
  <c r="F27" i="75"/>
  <c r="F17" i="75"/>
  <c r="F14" i="75"/>
  <c r="F15" i="75"/>
  <c r="F13" i="75"/>
  <c r="F8" i="75"/>
  <c r="F9" i="75"/>
  <c r="F24" i="75"/>
  <c r="F28" i="75"/>
  <c r="F11" i="75"/>
  <c r="F19" i="75"/>
  <c r="F21" i="75"/>
  <c r="F23" i="75"/>
  <c r="F25" i="75"/>
  <c r="F12" i="75"/>
  <c r="F22" i="75"/>
  <c r="F26" i="75"/>
  <c r="U11" i="74"/>
  <c r="U89" i="74"/>
  <c r="U110" i="74"/>
  <c r="U112" i="74"/>
  <c r="U116" i="74"/>
  <c r="U145" i="74"/>
  <c r="U153" i="74"/>
  <c r="U161" i="74"/>
  <c r="U169" i="74"/>
  <c r="U177" i="74"/>
  <c r="U185" i="74"/>
  <c r="U189" i="74"/>
  <c r="U233" i="74"/>
  <c r="U254" i="74"/>
  <c r="U256" i="74"/>
  <c r="U268" i="74"/>
  <c r="U276" i="74"/>
  <c r="U284" i="74"/>
  <c r="U292" i="74"/>
  <c r="U300" i="74"/>
  <c r="F7" i="75"/>
  <c r="U129" i="74"/>
  <c r="U19" i="74"/>
  <c r="U75" i="74"/>
  <c r="U81" i="74"/>
  <c r="U108" i="74"/>
  <c r="U137" i="74"/>
  <c r="U141" i="74"/>
  <c r="U206" i="74"/>
  <c r="U208" i="74"/>
  <c r="U212" i="74"/>
  <c r="U229" i="74"/>
  <c r="U246" i="74"/>
  <c r="U248" i="74"/>
  <c r="U260" i="74"/>
  <c r="P57" i="74"/>
  <c r="U57" i="74" s="1"/>
  <c r="P65" i="74"/>
  <c r="U65" i="74" s="1"/>
  <c r="P129" i="74"/>
  <c r="U289" i="74"/>
  <c r="U305" i="74"/>
  <c r="U225" i="74"/>
  <c r="P8" i="74"/>
  <c r="U8" i="74" s="1"/>
  <c r="U14" i="74"/>
  <c r="U86" i="74"/>
  <c r="U88" i="74"/>
  <c r="U113" i="74"/>
  <c r="P121" i="74"/>
  <c r="U121" i="74" s="1"/>
  <c r="U142" i="74"/>
  <c r="U144" i="74"/>
  <c r="U150" i="74"/>
  <c r="U152" i="74"/>
  <c r="U158" i="74"/>
  <c r="U160" i="74"/>
  <c r="U166" i="74"/>
  <c r="U168" i="74"/>
  <c r="U174" i="74"/>
  <c r="U176" i="74"/>
  <c r="U182" i="74"/>
  <c r="U184" i="74"/>
  <c r="U196" i="74"/>
  <c r="U213" i="74"/>
  <c r="P217" i="74"/>
  <c r="U217" i="74" s="1"/>
  <c r="U230" i="74"/>
  <c r="U232" i="74"/>
  <c r="U236" i="74"/>
  <c r="P265" i="74"/>
  <c r="U265" i="74" s="1"/>
  <c r="P273" i="74"/>
  <c r="U273" i="74" s="1"/>
  <c r="P281" i="74"/>
  <c r="U281" i="74" s="1"/>
  <c r="P289" i="74"/>
  <c r="P297" i="74"/>
  <c r="U297" i="74" s="1"/>
  <c r="P305" i="74"/>
  <c r="C30" i="75"/>
  <c r="P16" i="74"/>
  <c r="U16" i="74" s="1"/>
  <c r="U20" i="74"/>
  <c r="U76" i="74"/>
  <c r="U140" i="74"/>
  <c r="U209" i="74"/>
  <c r="P257" i="74"/>
  <c r="U257" i="74" s="1"/>
  <c r="D30" i="75"/>
  <c r="U73" i="74"/>
  <c r="P24" i="74"/>
  <c r="U24" i="74" s="1"/>
  <c r="P32" i="74"/>
  <c r="U32" i="74" s="1"/>
  <c r="P40" i="74"/>
  <c r="U40" i="74" s="1"/>
  <c r="U48" i="74"/>
  <c r="P48" i="74"/>
  <c r="U54" i="74"/>
  <c r="U56" i="74"/>
  <c r="U62" i="74"/>
  <c r="U64" i="74"/>
  <c r="U70" i="74"/>
  <c r="U72" i="74"/>
  <c r="U105" i="74"/>
  <c r="U126" i="74"/>
  <c r="U128" i="74"/>
  <c r="U132" i="74"/>
  <c r="U201" i="74"/>
  <c r="U205" i="74"/>
  <c r="P209" i="74"/>
  <c r="U222" i="74"/>
  <c r="U224" i="74"/>
  <c r="U228" i="74"/>
  <c r="U241" i="74"/>
  <c r="U245" i="74"/>
  <c r="P249" i="74"/>
  <c r="U249" i="74" s="1"/>
  <c r="E30" i="75"/>
  <c r="U97" i="74"/>
  <c r="U193" i="74"/>
  <c r="F6" i="75"/>
  <c r="F30" i="75" l="1"/>
  <c r="N38" i="73"/>
  <c r="N37" i="73"/>
  <c r="N36" i="73"/>
  <c r="N35" i="73"/>
  <c r="N34" i="73"/>
  <c r="N33" i="73"/>
  <c r="N32" i="73"/>
  <c r="N31" i="73"/>
  <c r="N30" i="73"/>
  <c r="N29" i="73"/>
  <c r="N42" i="73"/>
  <c r="A66" i="73"/>
  <c r="N65" i="73"/>
  <c r="P25" i="73"/>
  <c r="B25" i="73"/>
  <c r="A25" i="73"/>
  <c r="P24" i="73"/>
  <c r="B24" i="73"/>
  <c r="A24" i="73"/>
  <c r="N64" i="73"/>
  <c r="N63" i="73"/>
  <c r="N62" i="73"/>
  <c r="N61" i="73"/>
  <c r="N60" i="73"/>
  <c r="N59" i="73"/>
  <c r="N58" i="73"/>
  <c r="N57" i="73"/>
  <c r="N56" i="73"/>
  <c r="N55" i="73"/>
  <c r="P23" i="73"/>
  <c r="L23" i="73"/>
  <c r="C23" i="73"/>
  <c r="B23" i="73"/>
  <c r="A23" i="73"/>
  <c r="P22" i="73"/>
  <c r="L22" i="73"/>
  <c r="C22" i="73"/>
  <c r="B22" i="73"/>
  <c r="A22" i="73"/>
  <c r="C21" i="73"/>
  <c r="B21" i="73"/>
  <c r="A21" i="73"/>
  <c r="P20" i="73"/>
  <c r="L20" i="73"/>
  <c r="C20" i="73"/>
  <c r="B20" i="73"/>
  <c r="A20" i="73"/>
  <c r="P19" i="73"/>
  <c r="L19" i="73"/>
  <c r="C19" i="73"/>
  <c r="B19" i="73"/>
  <c r="A19" i="73"/>
  <c r="N51" i="73"/>
  <c r="N50" i="73"/>
  <c r="N49" i="73"/>
  <c r="N48" i="73"/>
  <c r="N47" i="73"/>
  <c r="N46" i="73"/>
  <c r="N45" i="73"/>
  <c r="N44" i="73"/>
  <c r="N43" i="73"/>
  <c r="P18" i="73"/>
  <c r="L18" i="73"/>
  <c r="H18" i="73"/>
  <c r="G18" i="73"/>
  <c r="C18" i="73"/>
  <c r="B18" i="73"/>
  <c r="A18" i="73"/>
  <c r="C17" i="73"/>
  <c r="B17" i="73"/>
  <c r="A17" i="73"/>
  <c r="P16" i="73"/>
  <c r="L16" i="73"/>
  <c r="H16" i="73"/>
  <c r="G16" i="73"/>
  <c r="C16" i="73"/>
  <c r="B16" i="73"/>
  <c r="A16" i="73"/>
  <c r="P15" i="73"/>
  <c r="L15" i="73"/>
  <c r="H15" i="73"/>
  <c r="G15" i="73"/>
  <c r="C15" i="73"/>
  <c r="B15" i="73"/>
  <c r="A15" i="73"/>
  <c r="P14" i="73"/>
  <c r="L14" i="73"/>
  <c r="H14" i="73"/>
  <c r="G14" i="73"/>
  <c r="C14" i="73"/>
  <c r="B14" i="73"/>
  <c r="A14" i="73"/>
  <c r="P13" i="73"/>
  <c r="L13" i="73"/>
  <c r="C13" i="73"/>
  <c r="B13" i="73"/>
  <c r="A13" i="73"/>
  <c r="P12" i="73"/>
  <c r="L12" i="73"/>
  <c r="C12" i="73"/>
  <c r="B12" i="73"/>
  <c r="A12" i="73"/>
  <c r="C11" i="73"/>
  <c r="B11" i="73"/>
  <c r="A11" i="73"/>
  <c r="J7" i="73"/>
  <c r="Q38" i="69"/>
  <c r="N13" i="53" l="1"/>
  <c r="N12" i="53"/>
  <c r="N11" i="53"/>
  <c r="N13" i="67"/>
  <c r="N12" i="67"/>
  <c r="N11" i="67"/>
  <c r="N13" i="39"/>
  <c r="N12" i="39"/>
  <c r="N11" i="39"/>
  <c r="N13" i="66"/>
  <c r="N12" i="66"/>
  <c r="N11" i="66"/>
  <c r="N13" i="65"/>
  <c r="N12" i="65"/>
  <c r="N11" i="65"/>
  <c r="N13" i="47"/>
  <c r="N12" i="47"/>
  <c r="N11" i="47"/>
  <c r="N13" i="59"/>
  <c r="N12" i="59"/>
  <c r="N11" i="59"/>
  <c r="N13" i="60"/>
  <c r="N12" i="60"/>
  <c r="N11" i="60"/>
  <c r="N13" i="63"/>
  <c r="N12" i="63"/>
  <c r="N11" i="63"/>
  <c r="S88" i="55"/>
  <c r="S88" i="53"/>
  <c r="S88" i="52"/>
  <c r="S88" i="67"/>
  <c r="S88" i="39"/>
  <c r="S88" i="66"/>
  <c r="S88" i="64"/>
  <c r="S88" i="65"/>
  <c r="S88" i="47"/>
  <c r="S88" i="59"/>
  <c r="S88" i="60"/>
  <c r="S88" i="63"/>
  <c r="S88" i="37"/>
  <c r="AA33" i="40"/>
  <c r="B8" i="69"/>
  <c r="B41" i="69" s="1"/>
  <c r="B7" i="69"/>
  <c r="B8" i="50"/>
  <c r="B7" i="50"/>
  <c r="B8" i="55"/>
  <c r="B7" i="55"/>
  <c r="B8" i="53"/>
  <c r="B7" i="53"/>
  <c r="B8" i="52"/>
  <c r="B7" i="52"/>
  <c r="B8" i="67"/>
  <c r="B7" i="67"/>
  <c r="B8" i="39"/>
  <c r="B7" i="39"/>
  <c r="B8" i="66"/>
  <c r="B7" i="66"/>
  <c r="B8" i="64"/>
  <c r="B7" i="64"/>
  <c r="B8" i="65"/>
  <c r="B7" i="65"/>
  <c r="B8" i="47"/>
  <c r="B7" i="47"/>
  <c r="B8" i="59"/>
  <c r="B7" i="59"/>
  <c r="B8" i="60"/>
  <c r="B7" i="60"/>
  <c r="B8" i="63"/>
  <c r="B7" i="63"/>
  <c r="A53" i="62"/>
  <c r="E31" i="69"/>
  <c r="E30" i="69"/>
  <c r="E39" i="50"/>
  <c r="E38" i="50"/>
  <c r="D28" i="55"/>
  <c r="D27" i="55"/>
  <c r="D28" i="53"/>
  <c r="D27" i="53"/>
  <c r="D28" i="52"/>
  <c r="D27" i="52"/>
  <c r="D28" i="67"/>
  <c r="D27" i="67"/>
  <c r="D28" i="39"/>
  <c r="D27" i="39"/>
  <c r="D28" i="66"/>
  <c r="D27" i="66"/>
  <c r="D28" i="64"/>
  <c r="D27" i="64"/>
  <c r="D28" i="65"/>
  <c r="D27" i="65"/>
  <c r="D28" i="47"/>
  <c r="D27" i="47"/>
  <c r="D28" i="59"/>
  <c r="D27" i="59"/>
  <c r="D28" i="60"/>
  <c r="D27" i="60"/>
  <c r="D28" i="63"/>
  <c r="D27" i="63"/>
  <c r="D28" i="37"/>
  <c r="D27" i="37"/>
  <c r="B8" i="37"/>
  <c r="B7" i="37"/>
  <c r="Q73" i="69"/>
  <c r="E23" i="63"/>
  <c r="N36" i="62"/>
  <c r="N37" i="62"/>
  <c r="N38" i="62"/>
  <c r="N39" i="62"/>
  <c r="N40" i="62"/>
  <c r="N41" i="62"/>
  <c r="N42" i="62"/>
  <c r="N43" i="62"/>
  <c r="N35" i="62"/>
  <c r="N17" i="62"/>
  <c r="N18" i="62"/>
  <c r="N19" i="62"/>
  <c r="N20" i="62"/>
  <c r="N21" i="62"/>
  <c r="N22" i="62"/>
  <c r="N23" i="62"/>
  <c r="N24" i="62"/>
  <c r="N25" i="62"/>
  <c r="B96" i="47" l="1"/>
  <c r="B54" i="47"/>
  <c r="B96" i="39"/>
  <c r="B54" i="39"/>
  <c r="B96" i="55"/>
  <c r="B54" i="55"/>
  <c r="B96" i="37"/>
  <c r="B54" i="37"/>
  <c r="B54" i="65"/>
  <c r="B96" i="65"/>
  <c r="B54" i="63"/>
  <c r="B96" i="63"/>
  <c r="B54" i="67"/>
  <c r="B96" i="67"/>
  <c r="B96" i="60"/>
  <c r="B54" i="60"/>
  <c r="B96" i="64"/>
  <c r="B54" i="64"/>
  <c r="B96" i="52"/>
  <c r="B54" i="52"/>
  <c r="B96" i="59"/>
  <c r="B54" i="59"/>
  <c r="B96" i="66"/>
  <c r="B54" i="66"/>
  <c r="B96" i="53"/>
  <c r="B54" i="53"/>
  <c r="B126" i="66"/>
  <c r="B125" i="66"/>
  <c r="B124" i="66"/>
  <c r="B123" i="66"/>
  <c r="B122" i="66"/>
  <c r="B121" i="66"/>
  <c r="B120" i="66"/>
  <c r="B119" i="66"/>
  <c r="B118" i="66"/>
  <c r="B117" i="66"/>
  <c r="B116" i="66"/>
  <c r="B115" i="66"/>
  <c r="B114" i="66"/>
  <c r="B113" i="66"/>
  <c r="B112" i="66"/>
  <c r="R108" i="66"/>
  <c r="R107" i="66"/>
  <c r="B107" i="66"/>
  <c r="P103" i="66"/>
  <c r="E23" i="66" s="1"/>
  <c r="L7" i="66" s="1"/>
  <c r="M7" i="66" s="1"/>
  <c r="H103" i="66"/>
  <c r="B99" i="66"/>
  <c r="B98" i="66"/>
  <c r="B97" i="66"/>
  <c r="G25" i="70"/>
  <c r="G24" i="70"/>
  <c r="G23" i="70"/>
  <c r="G22" i="70"/>
  <c r="G21" i="70"/>
  <c r="G17" i="70"/>
  <c r="G16" i="70"/>
  <c r="G15" i="70"/>
  <c r="G14" i="70"/>
  <c r="G13" i="70"/>
  <c r="G12" i="70"/>
  <c r="G11" i="70"/>
  <c r="G10" i="70"/>
  <c r="E25" i="70"/>
  <c r="E24" i="70"/>
  <c r="E23" i="70"/>
  <c r="E22" i="70"/>
  <c r="E21" i="70"/>
  <c r="E17" i="70"/>
  <c r="E16" i="70"/>
  <c r="E15" i="70"/>
  <c r="E14" i="70"/>
  <c r="E13" i="70"/>
  <c r="E12" i="70"/>
  <c r="E11" i="70"/>
  <c r="E10" i="70"/>
  <c r="C22" i="70"/>
  <c r="C23" i="70"/>
  <c r="C24" i="70"/>
  <c r="C25" i="70"/>
  <c r="C21" i="70"/>
  <c r="C11" i="70"/>
  <c r="C12" i="70"/>
  <c r="C13" i="70"/>
  <c r="C14" i="70"/>
  <c r="C15" i="70"/>
  <c r="C16" i="70"/>
  <c r="C17" i="70"/>
  <c r="C10" i="70"/>
  <c r="O7" i="66" l="1"/>
  <c r="P7" i="66" s="1"/>
  <c r="B108" i="66"/>
  <c r="B109" i="66" l="1"/>
  <c r="B110" i="66" s="1"/>
  <c r="B111" i="66" s="1"/>
  <c r="P59" i="69"/>
  <c r="D108" i="69"/>
  <c r="D107" i="69"/>
  <c r="D106" i="69"/>
  <c r="D105" i="69"/>
  <c r="D104" i="69"/>
  <c r="D103" i="69"/>
  <c r="D102" i="69"/>
  <c r="D101" i="69"/>
  <c r="D100" i="69"/>
  <c r="D99" i="69"/>
  <c r="D98" i="69"/>
  <c r="O109" i="69"/>
  <c r="O110" i="69"/>
  <c r="O111" i="69"/>
  <c r="O112" i="69"/>
  <c r="O113" i="69"/>
  <c r="O114" i="69"/>
  <c r="O115" i="69"/>
  <c r="O116" i="69"/>
  <c r="O117" i="69"/>
  <c r="O118" i="69"/>
  <c r="O119" i="69"/>
  <c r="O120" i="69"/>
  <c r="O121" i="69"/>
  <c r="O122" i="69"/>
  <c r="O123" i="69"/>
  <c r="O124" i="69"/>
  <c r="O125" i="69"/>
  <c r="O126" i="69"/>
  <c r="O127" i="69"/>
  <c r="O128" i="69"/>
  <c r="O129" i="69"/>
  <c r="O130" i="69"/>
  <c r="O131" i="69"/>
  <c r="O132" i="69"/>
  <c r="O133" i="69"/>
  <c r="O134" i="69"/>
  <c r="O135" i="69"/>
  <c r="O136" i="69"/>
  <c r="O137" i="69"/>
  <c r="O138" i="69"/>
  <c r="D97" i="69"/>
  <c r="D96" i="69"/>
  <c r="P60" i="69"/>
  <c r="P61" i="69"/>
  <c r="P62" i="69"/>
  <c r="P63" i="69"/>
  <c r="P64" i="69"/>
  <c r="P65" i="69"/>
  <c r="M111" i="69"/>
  <c r="M112" i="69"/>
  <c r="M113" i="69"/>
  <c r="M114" i="69"/>
  <c r="M115" i="69"/>
  <c r="M116" i="69"/>
  <c r="M117" i="69"/>
  <c r="M118" i="69"/>
  <c r="M119" i="69"/>
  <c r="M120" i="69"/>
  <c r="M121" i="69"/>
  <c r="M122" i="69"/>
  <c r="M123" i="69"/>
  <c r="M124" i="69"/>
  <c r="M125" i="69"/>
  <c r="M126" i="69"/>
  <c r="M127" i="69"/>
  <c r="M128" i="69"/>
  <c r="M129" i="69"/>
  <c r="M130" i="69"/>
  <c r="M131" i="69"/>
  <c r="M132" i="69"/>
  <c r="M133" i="69"/>
  <c r="M134" i="69"/>
  <c r="M135" i="69"/>
  <c r="M136" i="69"/>
  <c r="M137" i="69"/>
  <c r="M138" i="69"/>
  <c r="M110" i="69"/>
  <c r="M109" i="69"/>
  <c r="B79" i="69"/>
  <c r="B78" i="69"/>
  <c r="B77" i="69"/>
  <c r="B76" i="69"/>
  <c r="W24" i="40"/>
  <c r="V24" i="40"/>
  <c r="F30" i="70" l="1"/>
  <c r="I30" i="70" s="1"/>
  <c r="E19" i="66"/>
  <c r="N103" i="69" s="1"/>
  <c r="P87" i="66"/>
  <c r="O87" i="66"/>
  <c r="N87" i="66"/>
  <c r="M87" i="66"/>
  <c r="L87" i="66"/>
  <c r="K87" i="66"/>
  <c r="R156" i="64"/>
  <c r="R155" i="64"/>
  <c r="R154" i="64"/>
  <c r="R153" i="64"/>
  <c r="R152" i="64"/>
  <c r="R151" i="64"/>
  <c r="R150" i="64"/>
  <c r="R149" i="64"/>
  <c r="R148" i="64"/>
  <c r="R147" i="64"/>
  <c r="R146" i="64"/>
  <c r="R145" i="64"/>
  <c r="R144" i="64"/>
  <c r="R143" i="64"/>
  <c r="R142" i="64"/>
  <c r="R141" i="64"/>
  <c r="R140" i="64"/>
  <c r="R139" i="64"/>
  <c r="R138" i="64"/>
  <c r="R137" i="64"/>
  <c r="R136" i="64"/>
  <c r="R135" i="64"/>
  <c r="R134" i="64"/>
  <c r="R133" i="64"/>
  <c r="R132" i="64"/>
  <c r="R131" i="64"/>
  <c r="R130" i="64"/>
  <c r="R129" i="64"/>
  <c r="R128" i="64"/>
  <c r="R127" i="64"/>
  <c r="R126" i="64"/>
  <c r="R125" i="64"/>
  <c r="R124" i="64"/>
  <c r="R123" i="64"/>
  <c r="R122" i="64"/>
  <c r="R121" i="64"/>
  <c r="R120" i="64"/>
  <c r="R119" i="64"/>
  <c r="R118" i="64"/>
  <c r="R117" i="64"/>
  <c r="R116" i="64"/>
  <c r="R115" i="64"/>
  <c r="R114" i="64"/>
  <c r="R113" i="64"/>
  <c r="R112" i="64"/>
  <c r="R111" i="64"/>
  <c r="R110" i="64"/>
  <c r="R109" i="64"/>
  <c r="R108" i="64"/>
  <c r="R107" i="64"/>
  <c r="B107" i="64"/>
  <c r="P103" i="64"/>
  <c r="H103" i="64"/>
  <c r="B99" i="64"/>
  <c r="B98" i="64"/>
  <c r="B97" i="64"/>
  <c r="E19" i="64"/>
  <c r="N102" i="69" s="1"/>
  <c r="P87" i="64"/>
  <c r="O87" i="64"/>
  <c r="N87" i="64"/>
  <c r="M87" i="64"/>
  <c r="L87" i="64"/>
  <c r="K87" i="64"/>
  <c r="R156" i="65"/>
  <c r="R155" i="65"/>
  <c r="R154" i="65"/>
  <c r="R153" i="65"/>
  <c r="R152" i="65"/>
  <c r="R151" i="65"/>
  <c r="R150" i="65"/>
  <c r="R149" i="65"/>
  <c r="R148" i="65"/>
  <c r="R147" i="65"/>
  <c r="R146" i="65"/>
  <c r="R145" i="65"/>
  <c r="R144" i="65"/>
  <c r="R143" i="65"/>
  <c r="R142" i="65"/>
  <c r="R141" i="65"/>
  <c r="R140" i="65"/>
  <c r="R139" i="65"/>
  <c r="R138" i="65"/>
  <c r="R137" i="65"/>
  <c r="R136" i="65"/>
  <c r="R135" i="65"/>
  <c r="R134" i="65"/>
  <c r="R133" i="65"/>
  <c r="R132" i="65"/>
  <c r="R131" i="65"/>
  <c r="R130" i="65"/>
  <c r="R129" i="65"/>
  <c r="R128" i="65"/>
  <c r="R127" i="65"/>
  <c r="R126" i="65"/>
  <c r="R125" i="65"/>
  <c r="R124" i="65"/>
  <c r="R123" i="65"/>
  <c r="R122" i="65"/>
  <c r="R121" i="65"/>
  <c r="R120" i="65"/>
  <c r="R119" i="65"/>
  <c r="R118" i="65"/>
  <c r="R117" i="65"/>
  <c r="R116" i="65"/>
  <c r="R115" i="65"/>
  <c r="R114" i="65"/>
  <c r="R113" i="65"/>
  <c r="R112" i="65"/>
  <c r="R111" i="65"/>
  <c r="R110" i="65"/>
  <c r="R109" i="65"/>
  <c r="R108" i="65"/>
  <c r="R107" i="65"/>
  <c r="B107" i="65"/>
  <c r="P103" i="65"/>
  <c r="H103" i="65"/>
  <c r="B99" i="65"/>
  <c r="B98" i="65"/>
  <c r="B97" i="65"/>
  <c r="E19" i="65"/>
  <c r="N101" i="69" s="1"/>
  <c r="P87" i="65"/>
  <c r="O87" i="65"/>
  <c r="N87" i="65"/>
  <c r="M87" i="65"/>
  <c r="L87" i="65"/>
  <c r="K87" i="65"/>
  <c r="R156" i="59"/>
  <c r="R155" i="59"/>
  <c r="R154" i="59"/>
  <c r="R153" i="59"/>
  <c r="R152" i="59"/>
  <c r="R151" i="59"/>
  <c r="R150" i="59"/>
  <c r="R149" i="59"/>
  <c r="R148" i="59"/>
  <c r="R147" i="59"/>
  <c r="R146" i="59"/>
  <c r="R145" i="59"/>
  <c r="R144" i="59"/>
  <c r="R143" i="59"/>
  <c r="R142" i="59"/>
  <c r="R141" i="59"/>
  <c r="R140" i="59"/>
  <c r="R139" i="59"/>
  <c r="R138" i="59"/>
  <c r="R137" i="59"/>
  <c r="R136" i="59"/>
  <c r="R135" i="59"/>
  <c r="R134" i="59"/>
  <c r="R133" i="59"/>
  <c r="R132" i="59"/>
  <c r="R131" i="59"/>
  <c r="R130" i="59"/>
  <c r="R129" i="59"/>
  <c r="R128" i="59"/>
  <c r="R127" i="59"/>
  <c r="R126" i="59"/>
  <c r="R125" i="59"/>
  <c r="R124" i="59"/>
  <c r="R123" i="59"/>
  <c r="R122" i="59"/>
  <c r="R121" i="59"/>
  <c r="R120" i="59"/>
  <c r="R119" i="59"/>
  <c r="R118" i="59"/>
  <c r="R117" i="59"/>
  <c r="R116" i="59"/>
  <c r="R115" i="59"/>
  <c r="R114" i="59"/>
  <c r="R113" i="59"/>
  <c r="R112" i="59"/>
  <c r="R111" i="59"/>
  <c r="R110" i="59"/>
  <c r="R109" i="59"/>
  <c r="R108" i="59"/>
  <c r="R107" i="59"/>
  <c r="B107" i="59"/>
  <c r="P103" i="59"/>
  <c r="H103" i="59"/>
  <c r="B99" i="59"/>
  <c r="B98" i="59"/>
  <c r="B97" i="59"/>
  <c r="E19" i="59"/>
  <c r="N99" i="69" s="1"/>
  <c r="P87" i="59"/>
  <c r="O87" i="59"/>
  <c r="N87" i="59"/>
  <c r="M87" i="59"/>
  <c r="L87" i="59"/>
  <c r="K87" i="59"/>
  <c r="B125" i="60"/>
  <c r="B124" i="60"/>
  <c r="B123" i="60"/>
  <c r="B122" i="60"/>
  <c r="B121" i="60"/>
  <c r="B120" i="60"/>
  <c r="B119" i="60"/>
  <c r="B118" i="60"/>
  <c r="B117" i="60"/>
  <c r="R108" i="60"/>
  <c r="R107" i="60"/>
  <c r="B107" i="60"/>
  <c r="P103" i="60"/>
  <c r="E23" i="60" s="1"/>
  <c r="H103" i="60"/>
  <c r="B99" i="60"/>
  <c r="B98" i="60"/>
  <c r="B97" i="60"/>
  <c r="E19" i="60"/>
  <c r="N98" i="69" s="1"/>
  <c r="P87" i="60"/>
  <c r="O87" i="60"/>
  <c r="N87" i="60"/>
  <c r="M87" i="60"/>
  <c r="L87" i="60"/>
  <c r="K87" i="60"/>
  <c r="B125" i="63"/>
  <c r="B124" i="63"/>
  <c r="B123" i="63"/>
  <c r="B122" i="63"/>
  <c r="B121" i="63"/>
  <c r="B120" i="63"/>
  <c r="B119" i="63"/>
  <c r="B118" i="63"/>
  <c r="B117" i="63"/>
  <c r="R108" i="63"/>
  <c r="R107" i="63"/>
  <c r="B107" i="63"/>
  <c r="P103" i="63"/>
  <c r="H103" i="63"/>
  <c r="B99" i="63"/>
  <c r="B98" i="63"/>
  <c r="B97" i="63"/>
  <c r="E19" i="63"/>
  <c r="N97" i="69" s="1"/>
  <c r="P87" i="63"/>
  <c r="O87" i="63"/>
  <c r="N87" i="63"/>
  <c r="M87" i="63"/>
  <c r="L87" i="63"/>
  <c r="K87" i="63"/>
  <c r="R156" i="53"/>
  <c r="R155" i="53"/>
  <c r="R154" i="53"/>
  <c r="R153" i="53"/>
  <c r="R152" i="53"/>
  <c r="R151" i="53"/>
  <c r="R150" i="53"/>
  <c r="R149" i="53"/>
  <c r="R148" i="53"/>
  <c r="R147" i="53"/>
  <c r="R146" i="53"/>
  <c r="R145" i="53"/>
  <c r="R144" i="53"/>
  <c r="R143" i="53"/>
  <c r="R142" i="53"/>
  <c r="R141" i="53"/>
  <c r="R140" i="53"/>
  <c r="R139" i="53"/>
  <c r="R138" i="53"/>
  <c r="R137" i="53"/>
  <c r="R136" i="53"/>
  <c r="R135" i="53"/>
  <c r="R134" i="53"/>
  <c r="R133" i="53"/>
  <c r="R132" i="53"/>
  <c r="R131" i="53"/>
  <c r="R130" i="53"/>
  <c r="R129" i="53"/>
  <c r="R128" i="53"/>
  <c r="R127" i="53"/>
  <c r="R126" i="53"/>
  <c r="R125" i="53"/>
  <c r="R124" i="53"/>
  <c r="R123" i="53"/>
  <c r="R122" i="53"/>
  <c r="R121" i="53"/>
  <c r="R120" i="53"/>
  <c r="R119" i="53"/>
  <c r="R118" i="53"/>
  <c r="R117" i="53"/>
  <c r="R116" i="53"/>
  <c r="R115" i="53"/>
  <c r="R114" i="53"/>
  <c r="R113" i="53"/>
  <c r="R112" i="53"/>
  <c r="R111" i="53"/>
  <c r="R110" i="53"/>
  <c r="R109" i="53"/>
  <c r="R108" i="53"/>
  <c r="R107" i="53"/>
  <c r="B107" i="53"/>
  <c r="P103" i="53"/>
  <c r="H103" i="53"/>
  <c r="B99" i="53"/>
  <c r="B98" i="53"/>
  <c r="B97" i="53"/>
  <c r="E19" i="53"/>
  <c r="N107" i="69" s="1"/>
  <c r="P87" i="53"/>
  <c r="O87" i="53"/>
  <c r="N87" i="53"/>
  <c r="M87" i="53"/>
  <c r="L87" i="53"/>
  <c r="K87" i="53"/>
  <c r="R156" i="67"/>
  <c r="R155" i="67"/>
  <c r="R154" i="67"/>
  <c r="R153" i="67"/>
  <c r="R152" i="67"/>
  <c r="R151" i="67"/>
  <c r="R150" i="67"/>
  <c r="R149" i="67"/>
  <c r="R148" i="67"/>
  <c r="R147" i="67"/>
  <c r="R146" i="67"/>
  <c r="R145" i="67"/>
  <c r="R144" i="67"/>
  <c r="R143" i="67"/>
  <c r="R142" i="67"/>
  <c r="R141" i="67"/>
  <c r="R140" i="67"/>
  <c r="R139" i="67"/>
  <c r="R138" i="67"/>
  <c r="R137" i="67"/>
  <c r="R136" i="67"/>
  <c r="R135" i="67"/>
  <c r="R134" i="67"/>
  <c r="R133" i="67"/>
  <c r="R132" i="67"/>
  <c r="R131" i="67"/>
  <c r="R130" i="67"/>
  <c r="R129" i="67"/>
  <c r="R128" i="67"/>
  <c r="R127" i="67"/>
  <c r="R126" i="67"/>
  <c r="R125" i="67"/>
  <c r="R124" i="67"/>
  <c r="R123" i="67"/>
  <c r="R122" i="67"/>
  <c r="R121" i="67"/>
  <c r="R120" i="67"/>
  <c r="R119" i="67"/>
  <c r="R118" i="67"/>
  <c r="R117" i="67"/>
  <c r="R116" i="67"/>
  <c r="R115" i="67"/>
  <c r="R114" i="67"/>
  <c r="R113" i="67"/>
  <c r="R112" i="67"/>
  <c r="R111" i="67"/>
  <c r="R110" i="67"/>
  <c r="R109" i="67"/>
  <c r="R108" i="67"/>
  <c r="R107" i="67"/>
  <c r="B107" i="67"/>
  <c r="P103" i="67"/>
  <c r="H103" i="67"/>
  <c r="B99" i="67"/>
  <c r="B98" i="67"/>
  <c r="B97" i="67"/>
  <c r="E19" i="67"/>
  <c r="N105" i="69" s="1"/>
  <c r="P87" i="67"/>
  <c r="O87" i="67"/>
  <c r="N87" i="67"/>
  <c r="M87" i="67"/>
  <c r="L87" i="67"/>
  <c r="K87" i="67"/>
  <c r="R156" i="39"/>
  <c r="R155" i="39"/>
  <c r="R154" i="39"/>
  <c r="R153" i="39"/>
  <c r="R152" i="39"/>
  <c r="R151" i="39"/>
  <c r="R150" i="39"/>
  <c r="R149" i="39"/>
  <c r="R148" i="39"/>
  <c r="R147" i="39"/>
  <c r="R146" i="39"/>
  <c r="R145" i="39"/>
  <c r="R144" i="39"/>
  <c r="R143" i="39"/>
  <c r="R142" i="39"/>
  <c r="R141" i="39"/>
  <c r="R140" i="39"/>
  <c r="R139" i="39"/>
  <c r="R138" i="39"/>
  <c r="R137" i="39"/>
  <c r="R136" i="39"/>
  <c r="R135" i="39"/>
  <c r="R134" i="39"/>
  <c r="R133" i="39"/>
  <c r="R132" i="39"/>
  <c r="R131" i="39"/>
  <c r="R130" i="39"/>
  <c r="R129" i="39"/>
  <c r="R128" i="39"/>
  <c r="R127" i="39"/>
  <c r="R126" i="39"/>
  <c r="R125" i="39"/>
  <c r="R124" i="39"/>
  <c r="R123" i="39"/>
  <c r="R122" i="39"/>
  <c r="R121" i="39"/>
  <c r="R120" i="39"/>
  <c r="R119" i="39"/>
  <c r="R118" i="39"/>
  <c r="R117" i="39"/>
  <c r="R116" i="39"/>
  <c r="R115" i="39"/>
  <c r="R114" i="39"/>
  <c r="R113" i="39"/>
  <c r="R112" i="39"/>
  <c r="R111" i="39"/>
  <c r="R110" i="39"/>
  <c r="R109" i="39"/>
  <c r="R108" i="39"/>
  <c r="R107" i="39"/>
  <c r="B107" i="39"/>
  <c r="P103" i="39"/>
  <c r="H103" i="39"/>
  <c r="B99" i="39"/>
  <c r="B98" i="39"/>
  <c r="B97" i="39"/>
  <c r="E19" i="39"/>
  <c r="N104" i="69" s="1"/>
  <c r="P87" i="39"/>
  <c r="O87" i="39"/>
  <c r="N87" i="39"/>
  <c r="M87" i="39"/>
  <c r="L87" i="39"/>
  <c r="K87" i="39"/>
  <c r="P103" i="52"/>
  <c r="O105" i="52" s="1"/>
  <c r="B110" i="52"/>
  <c r="B99" i="52"/>
  <c r="B98" i="52"/>
  <c r="B97" i="52"/>
  <c r="E19" i="52"/>
  <c r="N106" i="69" s="1"/>
  <c r="P87" i="52"/>
  <c r="O87" i="52"/>
  <c r="N87" i="52"/>
  <c r="M87" i="52"/>
  <c r="L87" i="52"/>
  <c r="K87" i="52"/>
  <c r="B126" i="55"/>
  <c r="B125" i="55"/>
  <c r="B124" i="55"/>
  <c r="B123" i="55"/>
  <c r="B122" i="55"/>
  <c r="B121" i="55"/>
  <c r="B120" i="55"/>
  <c r="B119" i="55"/>
  <c r="B118" i="55"/>
  <c r="B117" i="55"/>
  <c r="R108" i="55"/>
  <c r="R107" i="55"/>
  <c r="B107" i="55"/>
  <c r="P103" i="55"/>
  <c r="E23" i="55" s="1"/>
  <c r="H103" i="55"/>
  <c r="B99" i="55"/>
  <c r="B98" i="55"/>
  <c r="B97" i="55"/>
  <c r="E19" i="55"/>
  <c r="N108" i="69" s="1"/>
  <c r="P87" i="55"/>
  <c r="O87" i="55"/>
  <c r="N87" i="55"/>
  <c r="M87" i="55"/>
  <c r="L87" i="55"/>
  <c r="K87" i="55"/>
  <c r="R156" i="37"/>
  <c r="R155" i="37"/>
  <c r="R154" i="37"/>
  <c r="R153" i="37"/>
  <c r="R152" i="37"/>
  <c r="R151" i="37"/>
  <c r="R150" i="37"/>
  <c r="R149" i="37"/>
  <c r="R148" i="37"/>
  <c r="R147" i="37"/>
  <c r="R146" i="37"/>
  <c r="R145" i="37"/>
  <c r="R144" i="37"/>
  <c r="R143" i="37"/>
  <c r="R142" i="37"/>
  <c r="R141" i="37"/>
  <c r="R140" i="37"/>
  <c r="R139" i="37"/>
  <c r="R138" i="37"/>
  <c r="R137" i="37"/>
  <c r="R136" i="37"/>
  <c r="R135" i="37"/>
  <c r="R134" i="37"/>
  <c r="R133" i="37"/>
  <c r="R132" i="37"/>
  <c r="R131" i="37"/>
  <c r="R130" i="37"/>
  <c r="R129" i="37"/>
  <c r="R128" i="37"/>
  <c r="R127" i="37"/>
  <c r="R126" i="37"/>
  <c r="R125" i="37"/>
  <c r="R124" i="37"/>
  <c r="R123" i="37"/>
  <c r="R122" i="37"/>
  <c r="R121" i="37"/>
  <c r="R120" i="37"/>
  <c r="R119" i="37"/>
  <c r="R118" i="37"/>
  <c r="R117" i="37"/>
  <c r="R116" i="37"/>
  <c r="R115" i="37"/>
  <c r="R114" i="37"/>
  <c r="R113" i="37"/>
  <c r="R112" i="37"/>
  <c r="R111" i="37"/>
  <c r="R110" i="37"/>
  <c r="R109" i="37"/>
  <c r="R108" i="37"/>
  <c r="R107" i="37"/>
  <c r="B107" i="37"/>
  <c r="P103" i="37"/>
  <c r="H103" i="37"/>
  <c r="B99" i="37"/>
  <c r="B98" i="37"/>
  <c r="B97" i="37"/>
  <c r="E19" i="37"/>
  <c r="N96" i="69" s="1"/>
  <c r="P87" i="37"/>
  <c r="O87" i="37"/>
  <c r="N87" i="37"/>
  <c r="M87" i="37"/>
  <c r="L87" i="37"/>
  <c r="K87" i="37"/>
  <c r="R155" i="47"/>
  <c r="R156" i="47"/>
  <c r="R147" i="47"/>
  <c r="R148" i="47"/>
  <c r="R149" i="47"/>
  <c r="R150" i="47"/>
  <c r="R151" i="47"/>
  <c r="R152" i="47"/>
  <c r="R153" i="47"/>
  <c r="R154" i="47"/>
  <c r="R146" i="47"/>
  <c r="R145" i="47"/>
  <c r="R144" i="47"/>
  <c r="R143" i="47"/>
  <c r="R142" i="47"/>
  <c r="R141" i="47"/>
  <c r="R140" i="47"/>
  <c r="R139" i="47"/>
  <c r="R138" i="47"/>
  <c r="R137" i="47"/>
  <c r="R136" i="47"/>
  <c r="R135" i="47"/>
  <c r="R134" i="47"/>
  <c r="R133" i="47"/>
  <c r="R132" i="47"/>
  <c r="R131" i="47"/>
  <c r="R130" i="47"/>
  <c r="R129" i="47"/>
  <c r="R128" i="47"/>
  <c r="R127" i="47"/>
  <c r="R126" i="47"/>
  <c r="R125" i="47"/>
  <c r="R124" i="47"/>
  <c r="R123" i="47"/>
  <c r="R122" i="47"/>
  <c r="R121" i="47"/>
  <c r="R120" i="47"/>
  <c r="R119" i="47"/>
  <c r="R118" i="47"/>
  <c r="R117" i="47"/>
  <c r="R116" i="47"/>
  <c r="R115" i="47"/>
  <c r="R114" i="47"/>
  <c r="R113" i="47"/>
  <c r="R112" i="47"/>
  <c r="R111" i="47"/>
  <c r="R110" i="47"/>
  <c r="R109" i="47"/>
  <c r="R108" i="47"/>
  <c r="R107" i="47"/>
  <c r="B107" i="47"/>
  <c r="P103" i="47"/>
  <c r="H103" i="47"/>
  <c r="B99" i="47"/>
  <c r="B98" i="47"/>
  <c r="B97" i="47"/>
  <c r="E19" i="47"/>
  <c r="N100" i="69" s="1"/>
  <c r="P87" i="47"/>
  <c r="O87" i="47"/>
  <c r="N87" i="47"/>
  <c r="M87" i="47"/>
  <c r="L87" i="47"/>
  <c r="K87" i="47"/>
  <c r="Q104" i="53" l="1"/>
  <c r="E23" i="53"/>
  <c r="B108" i="53"/>
  <c r="Q104" i="67"/>
  <c r="E23" i="67"/>
  <c r="L7" i="67" s="1"/>
  <c r="B108" i="67"/>
  <c r="B109" i="67" s="1"/>
  <c r="Q104" i="39"/>
  <c r="E23" i="39"/>
  <c r="L7" i="39" s="1"/>
  <c r="Q104" i="64"/>
  <c r="E23" i="64"/>
  <c r="L7" i="64" s="1"/>
  <c r="P104" i="65"/>
  <c r="E24" i="65" s="1"/>
  <c r="E23" i="65"/>
  <c r="L7" i="65" s="1"/>
  <c r="M7" i="65" s="1"/>
  <c r="Q104" i="47"/>
  <c r="E23" i="47"/>
  <c r="L7" i="47" s="1"/>
  <c r="M7" i="47" s="1"/>
  <c r="P104" i="59"/>
  <c r="E24" i="59" s="1"/>
  <c r="E23" i="59"/>
  <c r="L7" i="59" s="1"/>
  <c r="B109" i="59"/>
  <c r="B108" i="59"/>
  <c r="Q104" i="37"/>
  <c r="E23" i="37"/>
  <c r="L7" i="37" s="1"/>
  <c r="M7" i="37" s="1"/>
  <c r="P104" i="64"/>
  <c r="E24" i="64" s="1"/>
  <c r="B108" i="64"/>
  <c r="Q104" i="65"/>
  <c r="B108" i="65"/>
  <c r="Q104" i="59"/>
  <c r="B110" i="59"/>
  <c r="B108" i="60"/>
  <c r="B109" i="60"/>
  <c r="B108" i="63"/>
  <c r="P104" i="53"/>
  <c r="E24" i="53" s="1"/>
  <c r="P104" i="67"/>
  <c r="E24" i="67" s="1"/>
  <c r="P104" i="39"/>
  <c r="E24" i="39" s="1"/>
  <c r="B108" i="39"/>
  <c r="Q104" i="52"/>
  <c r="P104" i="52"/>
  <c r="Q105" i="52"/>
  <c r="P105" i="52"/>
  <c r="O104" i="52"/>
  <c r="B111" i="52"/>
  <c r="B112" i="52" s="1"/>
  <c r="B108" i="55"/>
  <c r="P104" i="37"/>
  <c r="E24" i="37" s="1"/>
  <c r="B108" i="37"/>
  <c r="B108" i="47"/>
  <c r="P104" i="47"/>
  <c r="E24" i="47" s="1"/>
  <c r="O107" i="52" l="1"/>
  <c r="E23" i="52" s="1"/>
  <c r="P107" i="52"/>
  <c r="Q107" i="52"/>
  <c r="E25" i="52" s="1"/>
  <c r="B109" i="53"/>
  <c r="M7" i="67"/>
  <c r="B110" i="67"/>
  <c r="B111" i="67" s="1"/>
  <c r="M7" i="39"/>
  <c r="M7" i="64"/>
  <c r="M7" i="59"/>
  <c r="B109" i="64"/>
  <c r="B109" i="65"/>
  <c r="B111" i="59"/>
  <c r="B112" i="59" s="1"/>
  <c r="B110" i="60"/>
  <c r="B110" i="63"/>
  <c r="B109" i="63"/>
  <c r="B109" i="39"/>
  <c r="B113" i="52"/>
  <c r="B109" i="55"/>
  <c r="B109" i="37"/>
  <c r="B109" i="47"/>
  <c r="B110" i="53" l="1"/>
  <c r="B111" i="53" s="1"/>
  <c r="B112" i="67"/>
  <c r="B113" i="67" s="1"/>
  <c r="B110" i="47"/>
  <c r="B111" i="47" s="1"/>
  <c r="B110" i="64"/>
  <c r="B110" i="65"/>
  <c r="B113" i="59"/>
  <c r="B111" i="60"/>
  <c r="B111" i="63"/>
  <c r="B110" i="39"/>
  <c r="B111" i="39" s="1"/>
  <c r="B114" i="52"/>
  <c r="B111" i="55"/>
  <c r="B110" i="55"/>
  <c r="B110" i="37"/>
  <c r="B112" i="47"/>
  <c r="B112" i="53" l="1"/>
  <c r="B113" i="53" s="1"/>
  <c r="B114" i="67"/>
  <c r="B115" i="67" s="1"/>
  <c r="B113" i="47"/>
  <c r="B111" i="64"/>
  <c r="B112" i="65"/>
  <c r="B113" i="65"/>
  <c r="B114" i="65"/>
  <c r="B111" i="65"/>
  <c r="B114" i="59"/>
  <c r="B115" i="59" s="1"/>
  <c r="B112" i="60"/>
  <c r="B113" i="60" s="1"/>
  <c r="B112" i="63"/>
  <c r="B113" i="63" s="1"/>
  <c r="B112" i="39"/>
  <c r="B113" i="39" s="1"/>
  <c r="B115" i="52"/>
  <c r="B112" i="55"/>
  <c r="B111" i="37"/>
  <c r="B114" i="53" l="1"/>
  <c r="B115" i="53" s="1"/>
  <c r="B117" i="67"/>
  <c r="B119" i="67" s="1"/>
  <c r="B116" i="67"/>
  <c r="B118" i="67" s="1"/>
  <c r="B114" i="47"/>
  <c r="B112" i="64"/>
  <c r="B115" i="65"/>
  <c r="B116" i="59"/>
  <c r="B117" i="59" s="1"/>
  <c r="B115" i="60"/>
  <c r="B116" i="60" s="1"/>
  <c r="B126" i="60" s="1"/>
  <c r="B114" i="60"/>
  <c r="B114" i="63"/>
  <c r="B115" i="63" s="1"/>
  <c r="B116" i="63" s="1"/>
  <c r="B126" i="63" s="1"/>
  <c r="B114" i="39"/>
  <c r="B115" i="39" s="1"/>
  <c r="B116" i="39" s="1"/>
  <c r="B116" i="52"/>
  <c r="B113" i="55"/>
  <c r="B112" i="37"/>
  <c r="B113" i="37"/>
  <c r="B114" i="37" s="1"/>
  <c r="B116" i="53" l="1"/>
  <c r="B117" i="53"/>
  <c r="B118" i="53" s="1"/>
  <c r="B115" i="47"/>
  <c r="B115" i="37"/>
  <c r="B116" i="37" s="1"/>
  <c r="B113" i="64"/>
  <c r="B116" i="65"/>
  <c r="B117" i="65" s="1"/>
  <c r="B118" i="65" s="1"/>
  <c r="B119" i="65" s="1"/>
  <c r="B120" i="65" s="1"/>
  <c r="B121" i="65" s="1"/>
  <c r="B122" i="65" s="1"/>
  <c r="B123" i="65" s="1"/>
  <c r="B124" i="65" s="1"/>
  <c r="B125" i="65" s="1"/>
  <c r="B126" i="65" s="1"/>
  <c r="B127" i="65" s="1"/>
  <c r="B128" i="65" s="1"/>
  <c r="B129" i="65" s="1"/>
  <c r="B130" i="65" s="1"/>
  <c r="B118" i="59"/>
  <c r="B119" i="59" s="1"/>
  <c r="B119" i="53"/>
  <c r="B120" i="67"/>
  <c r="B117" i="39"/>
  <c r="B117" i="52"/>
  <c r="B118" i="52" s="1"/>
  <c r="B119" i="52" s="1"/>
  <c r="B114" i="55"/>
  <c r="B115" i="55" s="1"/>
  <c r="B116" i="55" s="1"/>
  <c r="B117" i="37"/>
  <c r="B116" i="47" l="1"/>
  <c r="B114" i="64"/>
  <c r="B131" i="65"/>
  <c r="B132" i="65" s="1"/>
  <c r="B133" i="65" s="1"/>
  <c r="B134" i="65" s="1"/>
  <c r="B135" i="65" s="1"/>
  <c r="B136" i="65" s="1"/>
  <c r="B137" i="65" s="1"/>
  <c r="B138" i="65" s="1"/>
  <c r="B139" i="65" s="1"/>
  <c r="B140" i="65" s="1"/>
  <c r="B141" i="65" s="1"/>
  <c r="B142" i="65" s="1"/>
  <c r="B143" i="65" s="1"/>
  <c r="B144" i="65" s="1"/>
  <c r="B145" i="65" s="1"/>
  <c r="B146" i="65" s="1"/>
  <c r="B147" i="65" s="1"/>
  <c r="B148" i="65" s="1"/>
  <c r="B149" i="65" s="1"/>
  <c r="B150" i="65" s="1"/>
  <c r="B151" i="65" s="1"/>
  <c r="B152" i="65" s="1"/>
  <c r="B153" i="65" s="1"/>
  <c r="B154" i="65" s="1"/>
  <c r="B155" i="65" s="1"/>
  <c r="B156" i="65" s="1"/>
  <c r="B120" i="59"/>
  <c r="B121" i="59" s="1"/>
  <c r="B120" i="53"/>
  <c r="B121" i="53" s="1"/>
  <c r="B121" i="67"/>
  <c r="B122" i="67" s="1"/>
  <c r="B118" i="39"/>
  <c r="B119" i="39" s="1"/>
  <c r="B120" i="39" s="1"/>
  <c r="B121" i="39" s="1"/>
  <c r="B120" i="52"/>
  <c r="B121" i="52" s="1"/>
  <c r="B118" i="37"/>
  <c r="B117" i="47" l="1"/>
  <c r="B122" i="52"/>
  <c r="B123" i="52" s="1"/>
  <c r="B115" i="64"/>
  <c r="B122" i="59"/>
  <c r="B123" i="59" s="1"/>
  <c r="B124" i="59" s="1"/>
  <c r="B125" i="59" s="1"/>
  <c r="B126" i="59" s="1"/>
  <c r="B127" i="59" s="1"/>
  <c r="B128" i="59" s="1"/>
  <c r="B129" i="59" s="1"/>
  <c r="B130" i="59" s="1"/>
  <c r="B131" i="59" s="1"/>
  <c r="B132" i="59" s="1"/>
  <c r="B133" i="59" s="1"/>
  <c r="B134" i="59" s="1"/>
  <c r="B135" i="59" s="1"/>
  <c r="B136" i="59" s="1"/>
  <c r="B137" i="59" s="1"/>
  <c r="B138" i="59" s="1"/>
  <c r="B139" i="59" s="1"/>
  <c r="B140" i="59" s="1"/>
  <c r="B141" i="59" s="1"/>
  <c r="B142" i="59" s="1"/>
  <c r="B143" i="59" s="1"/>
  <c r="B144" i="59" s="1"/>
  <c r="B145" i="59" s="1"/>
  <c r="B146" i="59" s="1"/>
  <c r="B147" i="59" s="1"/>
  <c r="B148" i="59" s="1"/>
  <c r="B149" i="59" s="1"/>
  <c r="B150" i="59" s="1"/>
  <c r="B151" i="59" s="1"/>
  <c r="B152" i="59" s="1"/>
  <c r="B153" i="59" s="1"/>
  <c r="B154" i="59" s="1"/>
  <c r="B155" i="59" s="1"/>
  <c r="B156" i="59" s="1"/>
  <c r="B122" i="53"/>
  <c r="B123" i="53" s="1"/>
  <c r="B124" i="53" s="1"/>
  <c r="B125" i="53" s="1"/>
  <c r="B126" i="53" s="1"/>
  <c r="B127" i="53" s="1"/>
  <c r="B128" i="53" s="1"/>
  <c r="B129" i="53" s="1"/>
  <c r="B130" i="53" s="1"/>
  <c r="B131" i="53" s="1"/>
  <c r="B132" i="53" s="1"/>
  <c r="B133" i="53" s="1"/>
  <c r="B134" i="53" s="1"/>
  <c r="B135" i="53" s="1"/>
  <c r="B136" i="53" s="1"/>
  <c r="B137" i="53" s="1"/>
  <c r="B138" i="53" s="1"/>
  <c r="B139" i="53" s="1"/>
  <c r="B140" i="53" s="1"/>
  <c r="B141" i="53" s="1"/>
  <c r="B142" i="53" s="1"/>
  <c r="B143" i="53" s="1"/>
  <c r="B144" i="53" s="1"/>
  <c r="B145" i="53" s="1"/>
  <c r="B146" i="53" s="1"/>
  <c r="B147" i="53" s="1"/>
  <c r="B148" i="53" s="1"/>
  <c r="B149" i="53" s="1"/>
  <c r="B150" i="53" s="1"/>
  <c r="B151" i="53" s="1"/>
  <c r="B152" i="53" s="1"/>
  <c r="B153" i="53" s="1"/>
  <c r="B154" i="53" s="1"/>
  <c r="B155" i="53" s="1"/>
  <c r="B156" i="53" s="1"/>
  <c r="B123" i="67"/>
  <c r="B124" i="67" s="1"/>
  <c r="B125" i="67" s="1"/>
  <c r="B126" i="67" s="1"/>
  <c r="B127" i="67" s="1"/>
  <c r="B128" i="67" s="1"/>
  <c r="B129" i="67" s="1"/>
  <c r="B130" i="67" s="1"/>
  <c r="B131" i="67" s="1"/>
  <c r="B132" i="67" s="1"/>
  <c r="B133" i="67" s="1"/>
  <c r="B134" i="67" s="1"/>
  <c r="B135" i="67" s="1"/>
  <c r="B136" i="67" s="1"/>
  <c r="B137" i="67" s="1"/>
  <c r="B138" i="67" s="1"/>
  <c r="B139" i="67" s="1"/>
  <c r="B140" i="67" s="1"/>
  <c r="B141" i="67" s="1"/>
  <c r="B142" i="67" s="1"/>
  <c r="B143" i="67" s="1"/>
  <c r="B144" i="67" s="1"/>
  <c r="B145" i="67" s="1"/>
  <c r="B146" i="67" s="1"/>
  <c r="B147" i="67" s="1"/>
  <c r="B148" i="67" s="1"/>
  <c r="B149" i="67" s="1"/>
  <c r="B150" i="67" s="1"/>
  <c r="B151" i="67" s="1"/>
  <c r="B152" i="67" s="1"/>
  <c r="B153" i="67" s="1"/>
  <c r="B154" i="67" s="1"/>
  <c r="B155" i="67" s="1"/>
  <c r="B156" i="67" s="1"/>
  <c r="B122" i="39"/>
  <c r="B123" i="39" s="1"/>
  <c r="B124" i="39" s="1"/>
  <c r="B125" i="39" s="1"/>
  <c r="B126" i="39" s="1"/>
  <c r="B127" i="39" s="1"/>
  <c r="B128" i="39" s="1"/>
  <c r="B129" i="39" s="1"/>
  <c r="B130" i="39" s="1"/>
  <c r="B131" i="39" s="1"/>
  <c r="B132" i="39" s="1"/>
  <c r="B133" i="39" s="1"/>
  <c r="B134" i="39" s="1"/>
  <c r="B135" i="39" s="1"/>
  <c r="B136" i="39" s="1"/>
  <c r="B137" i="39" s="1"/>
  <c r="B138" i="39" s="1"/>
  <c r="B139" i="39" s="1"/>
  <c r="B140" i="39" s="1"/>
  <c r="B141" i="39" s="1"/>
  <c r="B142" i="39" s="1"/>
  <c r="B143" i="39" s="1"/>
  <c r="B144" i="39" s="1"/>
  <c r="B145" i="39" s="1"/>
  <c r="B146" i="39" s="1"/>
  <c r="B147" i="39" s="1"/>
  <c r="B148" i="39" s="1"/>
  <c r="B149" i="39" s="1"/>
  <c r="B150" i="39" s="1"/>
  <c r="B151" i="39" s="1"/>
  <c r="B152" i="39" s="1"/>
  <c r="B153" i="39" s="1"/>
  <c r="B154" i="39" s="1"/>
  <c r="B155" i="39" s="1"/>
  <c r="B156" i="39" s="1"/>
  <c r="B119" i="37"/>
  <c r="B120" i="37" s="1"/>
  <c r="B121" i="37" s="1"/>
  <c r="B122" i="37" s="1"/>
  <c r="B123" i="37" s="1"/>
  <c r="B124" i="37" s="1"/>
  <c r="B125" i="37" s="1"/>
  <c r="B126" i="37" s="1"/>
  <c r="B127" i="37" s="1"/>
  <c r="B128" i="37" s="1"/>
  <c r="B129" i="37" s="1"/>
  <c r="B130" i="37" s="1"/>
  <c r="B131" i="37" s="1"/>
  <c r="B132" i="37" s="1"/>
  <c r="B133" i="37" s="1"/>
  <c r="B134" i="37" s="1"/>
  <c r="B135" i="37" s="1"/>
  <c r="B136" i="37" s="1"/>
  <c r="B137" i="37" s="1"/>
  <c r="B138" i="37" s="1"/>
  <c r="B139" i="37" s="1"/>
  <c r="B140" i="37" s="1"/>
  <c r="B141" i="37" s="1"/>
  <c r="B142" i="37" s="1"/>
  <c r="B143" i="37" s="1"/>
  <c r="B144" i="37" s="1"/>
  <c r="B145" i="37" s="1"/>
  <c r="B146" i="37" s="1"/>
  <c r="B147" i="37" s="1"/>
  <c r="B148" i="37" s="1"/>
  <c r="B149" i="37" s="1"/>
  <c r="B150" i="37" s="1"/>
  <c r="B151" i="37" s="1"/>
  <c r="B152" i="37" s="1"/>
  <c r="B153" i="37" s="1"/>
  <c r="B154" i="37" s="1"/>
  <c r="B155" i="37" s="1"/>
  <c r="B156" i="37" s="1"/>
  <c r="B118" i="47" l="1"/>
  <c r="B124" i="52"/>
  <c r="B125" i="52" s="1"/>
  <c r="B126" i="52" s="1"/>
  <c r="B116" i="64"/>
  <c r="B117" i="64" s="1"/>
  <c r="B118" i="64" s="1"/>
  <c r="B119" i="64" s="1"/>
  <c r="B120" i="64" s="1"/>
  <c r="B121" i="64" s="1"/>
  <c r="B122" i="64" s="1"/>
  <c r="B123" i="64" s="1"/>
  <c r="B124" i="64" s="1"/>
  <c r="G27" i="40"/>
  <c r="G26" i="40"/>
  <c r="G23" i="40"/>
  <c r="G21" i="40"/>
  <c r="G13" i="40"/>
  <c r="G14" i="40"/>
  <c r="G15" i="40"/>
  <c r="G16" i="40"/>
  <c r="G17" i="40"/>
  <c r="G12" i="40"/>
  <c r="G10" i="40"/>
  <c r="D27" i="40"/>
  <c r="D26" i="40"/>
  <c r="D23" i="40"/>
  <c r="D21" i="40"/>
  <c r="D13" i="40"/>
  <c r="D14" i="40"/>
  <c r="D15" i="40"/>
  <c r="D16" i="40"/>
  <c r="D17" i="40"/>
  <c r="D12" i="40"/>
  <c r="D10" i="40"/>
  <c r="I10" i="70"/>
  <c r="D9" i="40" s="1"/>
  <c r="I22" i="70"/>
  <c r="I17" i="70"/>
  <c r="I21" i="70"/>
  <c r="I12" i="70"/>
  <c r="I13" i="70"/>
  <c r="I14" i="70"/>
  <c r="I16" i="70"/>
  <c r="I15" i="70"/>
  <c r="I11" i="70"/>
  <c r="I23" i="70"/>
  <c r="D24" i="40" s="1"/>
  <c r="I24" i="70"/>
  <c r="I25" i="70"/>
  <c r="B125" i="64" l="1"/>
  <c r="B126" i="64" s="1"/>
  <c r="B127" i="64" s="1"/>
  <c r="B128" i="64" s="1"/>
  <c r="B129" i="64" s="1"/>
  <c r="B130" i="64" s="1"/>
  <c r="B131" i="64" s="1"/>
  <c r="B132" i="64" s="1"/>
  <c r="B133" i="64" s="1"/>
  <c r="B134" i="64" s="1"/>
  <c r="B135" i="64" s="1"/>
  <c r="B136" i="64" s="1"/>
  <c r="B137" i="64" s="1"/>
  <c r="B138" i="64" s="1"/>
  <c r="B139" i="64" s="1"/>
  <c r="B140" i="64" s="1"/>
  <c r="B141" i="64" s="1"/>
  <c r="B142" i="64" s="1"/>
  <c r="B143" i="64" s="1"/>
  <c r="B144" i="64" s="1"/>
  <c r="B145" i="64" s="1"/>
  <c r="B146" i="64" s="1"/>
  <c r="B147" i="64" s="1"/>
  <c r="B148" i="64" s="1"/>
  <c r="B149" i="64" s="1"/>
  <c r="B150" i="64" s="1"/>
  <c r="B151" i="64" s="1"/>
  <c r="B152" i="64" s="1"/>
  <c r="B153" i="64" s="1"/>
  <c r="B154" i="64" s="1"/>
  <c r="B155" i="64" s="1"/>
  <c r="B156" i="64" s="1"/>
  <c r="B119" i="47"/>
  <c r="B127" i="52"/>
  <c r="B128" i="52" s="1"/>
  <c r="B129" i="52" s="1"/>
  <c r="J12" i="70"/>
  <c r="J11" i="70"/>
  <c r="J15" i="70"/>
  <c r="J17" i="70"/>
  <c r="J16" i="70"/>
  <c r="J14" i="70"/>
  <c r="J13" i="70"/>
  <c r="J10" i="70"/>
  <c r="G9" i="40" s="1"/>
  <c r="J22" i="70"/>
  <c r="J25" i="70"/>
  <c r="J24" i="70"/>
  <c r="J23" i="70"/>
  <c r="G24" i="40" s="1"/>
  <c r="J21" i="70"/>
  <c r="B120" i="47" l="1"/>
  <c r="J31" i="70"/>
  <c r="F29" i="70"/>
  <c r="I29" i="70" s="1"/>
  <c r="D18" i="68" s="1"/>
  <c r="E25" i="53"/>
  <c r="O35" i="69"/>
  <c r="L25" i="73" s="1"/>
  <c r="K35" i="69"/>
  <c r="O43" i="50"/>
  <c r="L24" i="73" s="1"/>
  <c r="O34" i="55"/>
  <c r="O34" i="53"/>
  <c r="O34" i="52"/>
  <c r="L21" i="73" s="1"/>
  <c r="I34" i="52"/>
  <c r="O34" i="67"/>
  <c r="O34" i="39"/>
  <c r="O34" i="60"/>
  <c r="O34" i="63"/>
  <c r="O34" i="66"/>
  <c r="K34" i="66"/>
  <c r="H16" i="62" s="1"/>
  <c r="J34" i="66"/>
  <c r="G16" i="62" s="1"/>
  <c r="O34" i="64"/>
  <c r="L17" i="73" s="1"/>
  <c r="K34" i="64"/>
  <c r="J34" i="64"/>
  <c r="G17" i="73" s="1"/>
  <c r="O34" i="65"/>
  <c r="K34" i="65"/>
  <c r="H14" i="62" s="1"/>
  <c r="J34" i="65"/>
  <c r="O34" i="47"/>
  <c r="K34" i="47"/>
  <c r="H13" i="62" s="1"/>
  <c r="J34" i="47"/>
  <c r="O34" i="59"/>
  <c r="K34" i="59"/>
  <c r="H12" i="62" s="1"/>
  <c r="J34" i="59"/>
  <c r="O34" i="37"/>
  <c r="L11" i="73" s="1"/>
  <c r="K34" i="37"/>
  <c r="J34" i="37"/>
  <c r="G11" i="73" s="1"/>
  <c r="E43" i="55"/>
  <c r="E42" i="55"/>
  <c r="E41" i="55"/>
  <c r="E40" i="55"/>
  <c r="E43" i="53"/>
  <c r="E42" i="53"/>
  <c r="E41" i="53"/>
  <c r="E40" i="53"/>
  <c r="E43" i="52"/>
  <c r="E42" i="52"/>
  <c r="E41" i="52"/>
  <c r="E40" i="52"/>
  <c r="E43" i="67"/>
  <c r="E42" i="67"/>
  <c r="E41" i="67"/>
  <c r="E40" i="67"/>
  <c r="E43" i="39"/>
  <c r="E42" i="39"/>
  <c r="E41" i="39"/>
  <c r="E40" i="39"/>
  <c r="E43" i="66"/>
  <c r="E42" i="66"/>
  <c r="E41" i="66"/>
  <c r="E40" i="66"/>
  <c r="E43" i="64"/>
  <c r="E42" i="64"/>
  <c r="E41" i="64"/>
  <c r="E40" i="64"/>
  <c r="E43" i="65"/>
  <c r="E42" i="65"/>
  <c r="E41" i="65"/>
  <c r="E40" i="65"/>
  <c r="E43" i="47"/>
  <c r="E42" i="47"/>
  <c r="E41" i="47"/>
  <c r="E40" i="47"/>
  <c r="E43" i="59"/>
  <c r="E42" i="59"/>
  <c r="E41" i="59"/>
  <c r="E40" i="59"/>
  <c r="E43" i="60"/>
  <c r="E42" i="60"/>
  <c r="E41" i="60"/>
  <c r="E40" i="60"/>
  <c r="E43" i="63"/>
  <c r="E42" i="63"/>
  <c r="E41" i="63"/>
  <c r="E40" i="63"/>
  <c r="G7" i="73" l="1"/>
  <c r="L7" i="73"/>
  <c r="H9" i="62"/>
  <c r="H11" i="73"/>
  <c r="H15" i="62"/>
  <c r="H17" i="73"/>
  <c r="B121" i="47"/>
  <c r="E40" i="37"/>
  <c r="E41" i="37"/>
  <c r="E42" i="37"/>
  <c r="E43" i="37"/>
  <c r="B122" i="47" l="1"/>
  <c r="B123" i="47" s="1"/>
  <c r="B124" i="47" s="1"/>
  <c r="B125" i="47" s="1"/>
  <c r="M30" i="68"/>
  <c r="B126" i="47" l="1"/>
  <c r="B127" i="47" s="1"/>
  <c r="B128" i="47" s="1"/>
  <c r="B129" i="47" s="1"/>
  <c r="B130" i="47" s="1"/>
  <c r="M6" i="69"/>
  <c r="N6" i="69" s="1"/>
  <c r="M6" i="50"/>
  <c r="N6" i="50" s="1"/>
  <c r="E25" i="67"/>
  <c r="O7" i="67" s="1"/>
  <c r="P7" i="67" s="1"/>
  <c r="E25" i="39"/>
  <c r="E25" i="64"/>
  <c r="O7" i="64" s="1"/>
  <c r="P7" i="64" s="1"/>
  <c r="E25" i="65"/>
  <c r="E25" i="47"/>
  <c r="S93" i="55"/>
  <c r="S93" i="53"/>
  <c r="S93" i="52"/>
  <c r="S93" i="67"/>
  <c r="S93" i="39"/>
  <c r="S93" i="66"/>
  <c r="S93" i="64"/>
  <c r="S93" i="65"/>
  <c r="S93" i="47"/>
  <c r="S93" i="59"/>
  <c r="S93" i="60"/>
  <c r="S93" i="63"/>
  <c r="S93" i="37"/>
  <c r="B49" i="62"/>
  <c r="A49" i="62"/>
  <c r="E56" i="69"/>
  <c r="E59" i="69" s="1"/>
  <c r="E63" i="69" s="1"/>
  <c r="E22" i="69" s="1"/>
  <c r="L10" i="69" s="1"/>
  <c r="M10" i="69" s="1"/>
  <c r="B43" i="69"/>
  <c r="P27" i="69"/>
  <c r="P49" i="62" s="1"/>
  <c r="E24" i="69"/>
  <c r="L6" i="69"/>
  <c r="E28" i="68"/>
  <c r="O7" i="39" l="1"/>
  <c r="P7" i="39" s="1"/>
  <c r="B131" i="47"/>
  <c r="B132" i="47" s="1"/>
  <c r="B133" i="47" s="1"/>
  <c r="B134" i="47" s="1"/>
  <c r="B135" i="47" s="1"/>
  <c r="B136" i="47" s="1"/>
  <c r="B137" i="47" s="1"/>
  <c r="B138" i="47" s="1"/>
  <c r="B139" i="47" s="1"/>
  <c r="B140" i="47" s="1"/>
  <c r="B141" i="47" s="1"/>
  <c r="B142" i="47" s="1"/>
  <c r="B143" i="47" s="1"/>
  <c r="B144" i="47" s="1"/>
  <c r="B145" i="47" s="1"/>
  <c r="B146" i="47" s="1"/>
  <c r="B147" i="47" s="1"/>
  <c r="B148" i="47" s="1"/>
  <c r="B149" i="47" s="1"/>
  <c r="B150" i="47" s="1"/>
  <c r="B151" i="47" s="1"/>
  <c r="B152" i="47" s="1"/>
  <c r="B153" i="47" s="1"/>
  <c r="B154" i="47" s="1"/>
  <c r="B155" i="47" s="1"/>
  <c r="B156" i="47" s="1"/>
  <c r="O7" i="47"/>
  <c r="P7" i="47" s="1"/>
  <c r="O7" i="65"/>
  <c r="P7" i="65" s="1"/>
  <c r="Q7" i="65" s="1"/>
  <c r="L49" i="62"/>
  <c r="P6" i="69"/>
  <c r="L9" i="69"/>
  <c r="M9" i="69" s="1"/>
  <c r="P10" i="69"/>
  <c r="Q10" i="69" s="1"/>
  <c r="L8" i="69"/>
  <c r="M8" i="69" s="1"/>
  <c r="P10" i="50"/>
  <c r="P9" i="50"/>
  <c r="I34" i="39" l="1"/>
  <c r="Q7" i="39"/>
  <c r="Q6" i="69"/>
  <c r="H35" i="69"/>
  <c r="P9" i="69"/>
  <c r="Q9" i="69" s="1"/>
  <c r="P8" i="69"/>
  <c r="Q8" i="69" s="1"/>
  <c r="L7" i="55"/>
  <c r="M7" i="55" s="1"/>
  <c r="Q7" i="52"/>
  <c r="N51" i="62"/>
  <c r="C31" i="62"/>
  <c r="B31" i="62"/>
  <c r="A31" i="62"/>
  <c r="M6" i="67"/>
  <c r="E67" i="67"/>
  <c r="L79" i="67" s="1"/>
  <c r="M65" i="67"/>
  <c r="M66" i="67" s="1"/>
  <c r="N66" i="67" s="1"/>
  <c r="H65" i="67"/>
  <c r="H66" i="67" s="1"/>
  <c r="B57" i="67"/>
  <c r="B56" i="67"/>
  <c r="B55" i="67"/>
  <c r="Q51" i="67"/>
  <c r="H47" i="67"/>
  <c r="E20" i="67" s="1"/>
  <c r="L18" i="67" s="1"/>
  <c r="N18" i="67" s="1"/>
  <c r="N43" i="67"/>
  <c r="P30" i="67"/>
  <c r="P20" i="67"/>
  <c r="L6" i="67"/>
  <c r="N6" i="67" s="1"/>
  <c r="C16" i="62"/>
  <c r="B16" i="62"/>
  <c r="A16" i="62"/>
  <c r="N52" i="62"/>
  <c r="Q46" i="50"/>
  <c r="Q51" i="52"/>
  <c r="Q51" i="39"/>
  <c r="E49" i="62" l="1"/>
  <c r="E25" i="73"/>
  <c r="L31" i="62"/>
  <c r="P31" i="62"/>
  <c r="L74" i="67"/>
  <c r="Q79" i="67"/>
  <c r="Q74" i="67"/>
  <c r="L76" i="67"/>
  <c r="Q76" i="67"/>
  <c r="L72" i="67"/>
  <c r="L77" i="67"/>
  <c r="Q75" i="67"/>
  <c r="Q70" i="67"/>
  <c r="L81" i="67"/>
  <c r="Q72" i="67"/>
  <c r="L78" i="67"/>
  <c r="L80" i="67"/>
  <c r="L70" i="67"/>
  <c r="Q80" i="67"/>
  <c r="Q71" i="67"/>
  <c r="S65" i="67"/>
  <c r="L73" i="67"/>
  <c r="Q78" i="67"/>
  <c r="L11" i="69"/>
  <c r="O11" i="69" s="1"/>
  <c r="I66" i="67"/>
  <c r="S66" i="67"/>
  <c r="P6" i="67"/>
  <c r="Q73" i="67"/>
  <c r="Q77" i="67"/>
  <c r="Q81" i="67"/>
  <c r="L71" i="67"/>
  <c r="L75" i="67"/>
  <c r="Q7" i="67" l="1"/>
  <c r="Q84" i="67"/>
  <c r="E18" i="67" s="1"/>
  <c r="L84" i="67"/>
  <c r="P11" i="69"/>
  <c r="Q6" i="67"/>
  <c r="L13" i="67" l="1"/>
  <c r="L105" i="69"/>
  <c r="S84" i="67"/>
  <c r="E17" i="67"/>
  <c r="K105" i="69" s="1"/>
  <c r="M105" i="69" s="1"/>
  <c r="M88" i="69" l="1"/>
  <c r="M55" i="69" s="1"/>
  <c r="O105" i="69"/>
  <c r="L10" i="67"/>
  <c r="N10" i="67" s="1"/>
  <c r="L11" i="67"/>
  <c r="L12" i="67"/>
  <c r="M13" i="67"/>
  <c r="N88" i="69" l="1"/>
  <c r="N55" i="69" s="1"/>
  <c r="M10" i="67"/>
  <c r="O10" i="67" s="1"/>
  <c r="M11" i="67"/>
  <c r="M12" i="67"/>
  <c r="P13" i="67"/>
  <c r="Q13" i="67" s="1"/>
  <c r="P55" i="69" l="1"/>
  <c r="O55" i="69"/>
  <c r="P10" i="67"/>
  <c r="P11" i="67"/>
  <c r="P12" i="67"/>
  <c r="Q12" i="67" s="1"/>
  <c r="Q31" i="62" l="1"/>
  <c r="Q20" i="73"/>
  <c r="L34" i="67"/>
  <c r="P14" i="67"/>
  <c r="M34" i="67"/>
  <c r="Q51" i="55"/>
  <c r="Q51" i="53"/>
  <c r="L7" i="53"/>
  <c r="I31" i="62" l="1"/>
  <c r="I20" i="73"/>
  <c r="M7" i="53"/>
  <c r="P15" i="67"/>
  <c r="O7" i="53" l="1"/>
  <c r="P7" i="53" s="1"/>
  <c r="I34" i="53" s="1"/>
  <c r="O7" i="37"/>
  <c r="P7" i="37" s="1"/>
  <c r="L7" i="63"/>
  <c r="M7" i="63" s="1"/>
  <c r="P7" i="63" s="1"/>
  <c r="I34" i="63" s="1"/>
  <c r="M6" i="66" l="1"/>
  <c r="E67" i="66"/>
  <c r="Q81" i="66" s="1"/>
  <c r="M65" i="66"/>
  <c r="M66" i="66" s="1"/>
  <c r="N66" i="66" s="1"/>
  <c r="H65" i="66"/>
  <c r="H66" i="66" s="1"/>
  <c r="I66" i="66" s="1"/>
  <c r="B57" i="66"/>
  <c r="B56" i="66"/>
  <c r="B55" i="66"/>
  <c r="Q51" i="66"/>
  <c r="H47" i="66"/>
  <c r="E20" i="66" s="1"/>
  <c r="N43" i="66"/>
  <c r="L16" i="62"/>
  <c r="P30" i="66"/>
  <c r="P16" i="62" s="1"/>
  <c r="L6" i="66"/>
  <c r="N6" i="66" s="1"/>
  <c r="Q71" i="66" l="1"/>
  <c r="L79" i="66"/>
  <c r="L74" i="66"/>
  <c r="L77" i="66"/>
  <c r="Q74" i="66"/>
  <c r="L70" i="66"/>
  <c r="L75" i="66"/>
  <c r="L80" i="66"/>
  <c r="Q79" i="66"/>
  <c r="Q70" i="66"/>
  <c r="Q75" i="66"/>
  <c r="L81" i="66"/>
  <c r="L71" i="66"/>
  <c r="L76" i="66"/>
  <c r="S65" i="66"/>
  <c r="L72" i="66"/>
  <c r="L78" i="66"/>
  <c r="L73" i="66"/>
  <c r="Q78" i="66"/>
  <c r="P6" i="66"/>
  <c r="L18" i="66"/>
  <c r="N18" i="66" s="1"/>
  <c r="Q72" i="66"/>
  <c r="Q76" i="66"/>
  <c r="Q80" i="66"/>
  <c r="S66" i="66"/>
  <c r="Q73" i="66"/>
  <c r="Q77" i="66"/>
  <c r="C14" i="62"/>
  <c r="B14" i="62"/>
  <c r="A14" i="62"/>
  <c r="M6" i="65"/>
  <c r="E67" i="65"/>
  <c r="Q79" i="65" s="1"/>
  <c r="M65" i="65"/>
  <c r="M66" i="65" s="1"/>
  <c r="N66" i="65" s="1"/>
  <c r="H65" i="65"/>
  <c r="H66" i="65" s="1"/>
  <c r="B57" i="65"/>
  <c r="B56" i="65"/>
  <c r="B55" i="65"/>
  <c r="Q51" i="65"/>
  <c r="H47" i="65"/>
  <c r="E20" i="65" s="1"/>
  <c r="L18" i="65" s="1"/>
  <c r="N18" i="65" s="1"/>
  <c r="N43" i="65"/>
  <c r="G14" i="62"/>
  <c r="P30" i="65"/>
  <c r="L6" i="65"/>
  <c r="N6" i="65" s="1"/>
  <c r="M6" i="64"/>
  <c r="C15" i="62"/>
  <c r="B15" i="62"/>
  <c r="A15" i="62"/>
  <c r="E67" i="64"/>
  <c r="L79" i="64" s="1"/>
  <c r="M65" i="64"/>
  <c r="M66" i="64" s="1"/>
  <c r="N66" i="64" s="1"/>
  <c r="H65" i="64"/>
  <c r="H66" i="64" s="1"/>
  <c r="B57" i="64"/>
  <c r="B56" i="64"/>
  <c r="B55" i="64"/>
  <c r="Q51" i="64"/>
  <c r="H47" i="64"/>
  <c r="E20" i="64" s="1"/>
  <c r="L18" i="64" s="1"/>
  <c r="N18" i="64" s="1"/>
  <c r="N43" i="64"/>
  <c r="G15" i="62"/>
  <c r="P30" i="64"/>
  <c r="P17" i="73" s="1"/>
  <c r="L6" i="64"/>
  <c r="N6" i="64" s="1"/>
  <c r="C10" i="62"/>
  <c r="B10" i="62"/>
  <c r="A10" i="62"/>
  <c r="O7" i="59"/>
  <c r="P7" i="59" s="1"/>
  <c r="M6" i="47"/>
  <c r="L6" i="47"/>
  <c r="N6" i="47" s="1"/>
  <c r="M6" i="59"/>
  <c r="L6" i="59"/>
  <c r="N6" i="59" s="1"/>
  <c r="M6" i="60"/>
  <c r="L7" i="60"/>
  <c r="M7" i="60" s="1"/>
  <c r="P7" i="60" s="1"/>
  <c r="I34" i="60" s="1"/>
  <c r="L6" i="60"/>
  <c r="N6" i="60" s="1"/>
  <c r="M6" i="63"/>
  <c r="E67" i="63"/>
  <c r="Q79" i="63" s="1"/>
  <c r="M65" i="63"/>
  <c r="M66" i="63" s="1"/>
  <c r="H65" i="63"/>
  <c r="H66" i="63" s="1"/>
  <c r="B57" i="63"/>
  <c r="B56" i="63"/>
  <c r="B55" i="63"/>
  <c r="Q51" i="63"/>
  <c r="H47" i="63"/>
  <c r="E20" i="63" s="1"/>
  <c r="N43" i="63"/>
  <c r="P30" i="63"/>
  <c r="L6" i="63"/>
  <c r="N6" i="63" s="1"/>
  <c r="M6" i="37"/>
  <c r="L6" i="37"/>
  <c r="N6" i="37" s="1"/>
  <c r="M6" i="39"/>
  <c r="L6" i="39"/>
  <c r="N6" i="39" s="1"/>
  <c r="N43" i="47"/>
  <c r="N43" i="59"/>
  <c r="N43" i="60"/>
  <c r="N43" i="37"/>
  <c r="N43" i="39"/>
  <c r="N43" i="52"/>
  <c r="N43" i="53"/>
  <c r="N43" i="55"/>
  <c r="M6" i="52"/>
  <c r="L6" i="52"/>
  <c r="N6" i="52" s="1"/>
  <c r="M6" i="53"/>
  <c r="L6" i="53"/>
  <c r="N6" i="53" s="1"/>
  <c r="M6" i="55"/>
  <c r="Q6" i="66" l="1"/>
  <c r="L79" i="63"/>
  <c r="L84" i="66"/>
  <c r="Q84" i="66"/>
  <c r="E18" i="66" s="1"/>
  <c r="L73" i="64"/>
  <c r="Q71" i="64"/>
  <c r="Q75" i="64"/>
  <c r="L81" i="64"/>
  <c r="L15" i="62"/>
  <c r="P15" i="62"/>
  <c r="Q75" i="65"/>
  <c r="L14" i="62"/>
  <c r="P14" i="62"/>
  <c r="L10" i="62"/>
  <c r="P10" i="62"/>
  <c r="L72" i="64"/>
  <c r="L76" i="64"/>
  <c r="L77" i="64"/>
  <c r="Q79" i="64"/>
  <c r="L80" i="64"/>
  <c r="L76" i="65"/>
  <c r="Q76" i="65"/>
  <c r="L80" i="65"/>
  <c r="Q71" i="65"/>
  <c r="Q80" i="65"/>
  <c r="L72" i="65"/>
  <c r="Q72" i="65"/>
  <c r="Q72" i="63"/>
  <c r="L73" i="63"/>
  <c r="Q76" i="63"/>
  <c r="Q7" i="66"/>
  <c r="I66" i="65"/>
  <c r="S66" i="65"/>
  <c r="P6" i="65"/>
  <c r="L73" i="65"/>
  <c r="L77" i="65"/>
  <c r="L81" i="65"/>
  <c r="Q73" i="65"/>
  <c r="Q77" i="65"/>
  <c r="Q81" i="65"/>
  <c r="L70" i="65"/>
  <c r="L74" i="65"/>
  <c r="L78" i="65"/>
  <c r="S65" i="65"/>
  <c r="Q70" i="65"/>
  <c r="Q74" i="65"/>
  <c r="Q78" i="65"/>
  <c r="L71" i="65"/>
  <c r="L75" i="65"/>
  <c r="L79" i="65"/>
  <c r="P6" i="64"/>
  <c r="I66" i="64"/>
  <c r="S66" i="64"/>
  <c r="Q72" i="64"/>
  <c r="Q76" i="64"/>
  <c r="Q80" i="64"/>
  <c r="Q73" i="64"/>
  <c r="Q77" i="64"/>
  <c r="Q81" i="64"/>
  <c r="L70" i="64"/>
  <c r="L74" i="64"/>
  <c r="L78" i="64"/>
  <c r="S65" i="64"/>
  <c r="Q70" i="64"/>
  <c r="Q74" i="64"/>
  <c r="Q78" i="64"/>
  <c r="L71" i="64"/>
  <c r="L75" i="64"/>
  <c r="P6" i="47"/>
  <c r="Q7" i="63"/>
  <c r="P6" i="39"/>
  <c r="P6" i="63"/>
  <c r="S66" i="63"/>
  <c r="I66" i="63"/>
  <c r="L18" i="63"/>
  <c r="N18" i="63" s="1"/>
  <c r="N66" i="63"/>
  <c r="L70" i="63"/>
  <c r="L74" i="63"/>
  <c r="L78" i="63"/>
  <c r="L80" i="63"/>
  <c r="S65" i="63"/>
  <c r="Q70" i="63"/>
  <c r="Q74" i="63"/>
  <c r="Q78" i="63"/>
  <c r="Q80" i="63"/>
  <c r="L71" i="63"/>
  <c r="L75" i="63"/>
  <c r="L77" i="63"/>
  <c r="L81" i="63"/>
  <c r="Q71" i="63"/>
  <c r="Q75" i="63"/>
  <c r="Q77" i="63"/>
  <c r="Q81" i="63"/>
  <c r="L72" i="63"/>
  <c r="L76" i="63"/>
  <c r="Q73" i="63"/>
  <c r="P6" i="52"/>
  <c r="Q7" i="53"/>
  <c r="P6" i="53"/>
  <c r="L13" i="66" l="1"/>
  <c r="L103" i="69"/>
  <c r="Q6" i="52"/>
  <c r="Q6" i="39"/>
  <c r="S84" i="66"/>
  <c r="E17" i="66"/>
  <c r="K103" i="69" s="1"/>
  <c r="M103" i="69" s="1"/>
  <c r="O103" i="69" s="1"/>
  <c r="Q6" i="47"/>
  <c r="Q6" i="63"/>
  <c r="Q7" i="59"/>
  <c r="Q84" i="64"/>
  <c r="E18" i="64" s="1"/>
  <c r="L84" i="64"/>
  <c r="Q84" i="65"/>
  <c r="E18" i="65" s="1"/>
  <c r="L84" i="65"/>
  <c r="L84" i="63"/>
  <c r="Q84" i="63"/>
  <c r="E18" i="63" s="1"/>
  <c r="Q7" i="64"/>
  <c r="Q7" i="60"/>
  <c r="Q6" i="65"/>
  <c r="Q6" i="64"/>
  <c r="P19" i="63"/>
  <c r="Q6" i="53"/>
  <c r="Q51" i="47"/>
  <c r="Q51" i="59"/>
  <c r="Q51" i="60"/>
  <c r="Q51" i="37"/>
  <c r="B48" i="62"/>
  <c r="A48" i="62"/>
  <c r="N44" i="62"/>
  <c r="C34" i="62"/>
  <c r="B34" i="62"/>
  <c r="A34" i="62"/>
  <c r="C33" i="62"/>
  <c r="B33" i="62"/>
  <c r="A33" i="62"/>
  <c r="C32" i="62"/>
  <c r="B32" i="62"/>
  <c r="A32" i="62"/>
  <c r="C30" i="62"/>
  <c r="B30" i="62"/>
  <c r="A30" i="62"/>
  <c r="N26" i="62"/>
  <c r="C13" i="62"/>
  <c r="B13" i="62"/>
  <c r="A13" i="62"/>
  <c r="C12" i="62"/>
  <c r="B12" i="62"/>
  <c r="A12" i="62"/>
  <c r="C11" i="62"/>
  <c r="B11" i="62"/>
  <c r="A11" i="62"/>
  <c r="C9" i="62"/>
  <c r="B9" i="62"/>
  <c r="A9" i="62"/>
  <c r="P11" i="50"/>
  <c r="K43" i="50" s="1"/>
  <c r="H24" i="73" s="1"/>
  <c r="H7" i="73" s="1"/>
  <c r="E31" i="50"/>
  <c r="E32" i="50" s="1"/>
  <c r="E16" i="50"/>
  <c r="E17" i="50" s="1"/>
  <c r="P26" i="50"/>
  <c r="E67" i="60"/>
  <c r="Q79" i="60" s="1"/>
  <c r="M65" i="60"/>
  <c r="H65" i="60"/>
  <c r="H66" i="60" s="1"/>
  <c r="B57" i="60"/>
  <c r="B56" i="60"/>
  <c r="B55" i="60"/>
  <c r="H47" i="60"/>
  <c r="E20" i="60" s="1"/>
  <c r="L18" i="60" s="1"/>
  <c r="N18" i="60" s="1"/>
  <c r="P30" i="60"/>
  <c r="E67" i="59"/>
  <c r="Q79" i="59" s="1"/>
  <c r="M65" i="59"/>
  <c r="M66" i="59" s="1"/>
  <c r="H65" i="59"/>
  <c r="B57" i="59"/>
  <c r="B56" i="59"/>
  <c r="B55" i="59"/>
  <c r="H47" i="59"/>
  <c r="E20" i="59" s="1"/>
  <c r="G12" i="62"/>
  <c r="P30" i="59"/>
  <c r="E67" i="55"/>
  <c r="L80" i="55" s="1"/>
  <c r="M65" i="55"/>
  <c r="M66" i="55" s="1"/>
  <c r="H65" i="55"/>
  <c r="H66" i="55" s="1"/>
  <c r="B57" i="55"/>
  <c r="B56" i="55"/>
  <c r="B55" i="55"/>
  <c r="H47" i="55"/>
  <c r="E20" i="55" s="1"/>
  <c r="P30" i="55"/>
  <c r="P7" i="55"/>
  <c r="I34" i="55" s="1"/>
  <c r="L6" i="55"/>
  <c r="N6" i="55" s="1"/>
  <c r="E67" i="53"/>
  <c r="Q80" i="53" s="1"/>
  <c r="M65" i="53"/>
  <c r="M66" i="53" s="1"/>
  <c r="H65" i="53"/>
  <c r="H66" i="53" s="1"/>
  <c r="B57" i="53"/>
  <c r="B56" i="53"/>
  <c r="B55" i="53"/>
  <c r="H47" i="53"/>
  <c r="E20" i="53" s="1"/>
  <c r="L18" i="53" s="1"/>
  <c r="N18" i="53" s="1"/>
  <c r="P30" i="53"/>
  <c r="L13" i="64" l="1"/>
  <c r="N13" i="64" s="1"/>
  <c r="L102" i="69"/>
  <c r="L13" i="65"/>
  <c r="L101" i="69"/>
  <c r="L13" i="63"/>
  <c r="L97" i="69"/>
  <c r="L73" i="53"/>
  <c r="L10" i="66"/>
  <c r="N10" i="66" s="1"/>
  <c r="L11" i="66"/>
  <c r="L12" i="66"/>
  <c r="S84" i="64"/>
  <c r="E17" i="64"/>
  <c r="K102" i="69" s="1"/>
  <c r="M102" i="69" s="1"/>
  <c r="O102" i="69" s="1"/>
  <c r="E17" i="65"/>
  <c r="K101" i="69" s="1"/>
  <c r="M101" i="69" s="1"/>
  <c r="O101" i="69" s="1"/>
  <c r="S84" i="65"/>
  <c r="L71" i="59"/>
  <c r="L73" i="59"/>
  <c r="S84" i="63"/>
  <c r="E17" i="63"/>
  <c r="K97" i="69" s="1"/>
  <c r="L48" i="62"/>
  <c r="P48" i="62"/>
  <c r="L34" i="62"/>
  <c r="P34" i="62"/>
  <c r="L81" i="53"/>
  <c r="L33" i="62"/>
  <c r="P33" i="62"/>
  <c r="L74" i="59"/>
  <c r="L81" i="59"/>
  <c r="L12" i="62"/>
  <c r="P12" i="62"/>
  <c r="S65" i="59"/>
  <c r="S65" i="60"/>
  <c r="L74" i="60"/>
  <c r="Q78" i="60"/>
  <c r="L11" i="62"/>
  <c r="P11" i="62"/>
  <c r="Q7" i="55"/>
  <c r="Q73" i="53"/>
  <c r="L77" i="53"/>
  <c r="L75" i="59"/>
  <c r="L77" i="59"/>
  <c r="H66" i="59"/>
  <c r="I66" i="59" s="1"/>
  <c r="L78" i="59"/>
  <c r="L79" i="59"/>
  <c r="L70" i="59"/>
  <c r="L80" i="59"/>
  <c r="L80" i="60"/>
  <c r="L70" i="60"/>
  <c r="Q80" i="60"/>
  <c r="Q70" i="60"/>
  <c r="L73" i="60"/>
  <c r="Q74" i="60"/>
  <c r="L78" i="60"/>
  <c r="H48" i="62"/>
  <c r="L18" i="59"/>
  <c r="N18" i="59" s="1"/>
  <c r="I66" i="60"/>
  <c r="P6" i="60"/>
  <c r="L71" i="60"/>
  <c r="L75" i="60"/>
  <c r="L77" i="60"/>
  <c r="L81" i="60"/>
  <c r="Q71" i="60"/>
  <c r="Q75" i="60"/>
  <c r="Q77" i="60"/>
  <c r="Q81" i="60"/>
  <c r="M66" i="60"/>
  <c r="S66" i="60" s="1"/>
  <c r="L72" i="60"/>
  <c r="L76" i="60"/>
  <c r="Q72" i="60"/>
  <c r="Q76" i="60"/>
  <c r="L79" i="60"/>
  <c r="Q73" i="60"/>
  <c r="N66" i="59"/>
  <c r="Q70" i="59"/>
  <c r="Q74" i="59"/>
  <c r="Q78" i="59"/>
  <c r="Q80" i="59"/>
  <c r="P6" i="59"/>
  <c r="Q71" i="59"/>
  <c r="Q75" i="59"/>
  <c r="Q77" i="59"/>
  <c r="Q81" i="59"/>
  <c r="L72" i="59"/>
  <c r="L76" i="59"/>
  <c r="Q72" i="59"/>
  <c r="Q76" i="59"/>
  <c r="Q73" i="59"/>
  <c r="Q70" i="55"/>
  <c r="L77" i="55"/>
  <c r="Q75" i="55"/>
  <c r="Q71" i="55"/>
  <c r="L78" i="55"/>
  <c r="Q76" i="55"/>
  <c r="Q72" i="55"/>
  <c r="Q78" i="55"/>
  <c r="L70" i="55"/>
  <c r="L73" i="55"/>
  <c r="Q79" i="55"/>
  <c r="L74" i="55"/>
  <c r="Q80" i="55"/>
  <c r="Q74" i="55"/>
  <c r="L81" i="55"/>
  <c r="I66" i="55"/>
  <c r="S66" i="55"/>
  <c r="N66" i="55"/>
  <c r="L18" i="55"/>
  <c r="N18" i="55" s="1"/>
  <c r="P20" i="55"/>
  <c r="Q73" i="55"/>
  <c r="Q77" i="55"/>
  <c r="Q81" i="55"/>
  <c r="S65" i="55"/>
  <c r="P6" i="55"/>
  <c r="L71" i="55"/>
  <c r="L75" i="55"/>
  <c r="L79" i="55"/>
  <c r="L72" i="55"/>
  <c r="L76" i="55"/>
  <c r="P20" i="53"/>
  <c r="S66" i="53"/>
  <c r="I66" i="53"/>
  <c r="N66" i="53"/>
  <c r="L70" i="53"/>
  <c r="L74" i="53"/>
  <c r="L78" i="53"/>
  <c r="S65" i="53"/>
  <c r="Q70" i="53"/>
  <c r="Q84" i="53" s="1"/>
  <c r="E18" i="53" s="1"/>
  <c r="Q74" i="53"/>
  <c r="Q78" i="53"/>
  <c r="Q81" i="53"/>
  <c r="L71" i="53"/>
  <c r="L75" i="53"/>
  <c r="L79" i="53"/>
  <c r="Q71" i="53"/>
  <c r="Q75" i="53"/>
  <c r="Q79" i="53"/>
  <c r="L72" i="53"/>
  <c r="L76" i="53"/>
  <c r="L80" i="53"/>
  <c r="Q77" i="53"/>
  <c r="Q72" i="53"/>
  <c r="Q76" i="53"/>
  <c r="M97" i="69" l="1"/>
  <c r="O97" i="69" s="1"/>
  <c r="L13" i="53"/>
  <c r="L107" i="69"/>
  <c r="O12" i="66"/>
  <c r="M12" i="66"/>
  <c r="L84" i="59"/>
  <c r="E17" i="59" s="1"/>
  <c r="K99" i="69" s="1"/>
  <c r="Q6" i="55"/>
  <c r="L12" i="64"/>
  <c r="N12" i="64" s="1"/>
  <c r="L11" i="64"/>
  <c r="N11" i="64" s="1"/>
  <c r="L10" i="64"/>
  <c r="N10" i="64" s="1"/>
  <c r="L12" i="65"/>
  <c r="L10" i="65"/>
  <c r="N10" i="65" s="1"/>
  <c r="L11" i="65"/>
  <c r="Q6" i="59"/>
  <c r="Q6" i="60"/>
  <c r="L10" i="63"/>
  <c r="N10" i="63" s="1"/>
  <c r="L12" i="63"/>
  <c r="L11" i="63"/>
  <c r="Q84" i="55"/>
  <c r="E18" i="55" s="1"/>
  <c r="L84" i="53"/>
  <c r="M11" i="66"/>
  <c r="M10" i="66"/>
  <c r="O10" i="66" s="1"/>
  <c r="M13" i="66"/>
  <c r="M13" i="64"/>
  <c r="M13" i="65"/>
  <c r="Q84" i="59"/>
  <c r="E18" i="59" s="1"/>
  <c r="S66" i="59"/>
  <c r="L84" i="60"/>
  <c r="Q84" i="60"/>
  <c r="E18" i="60" s="1"/>
  <c r="N66" i="60"/>
  <c r="L84" i="55"/>
  <c r="M12" i="64" l="1"/>
  <c r="L13" i="55"/>
  <c r="N13" i="55" s="1"/>
  <c r="L108" i="69"/>
  <c r="P12" i="66"/>
  <c r="Q12" i="66" s="1"/>
  <c r="M12" i="65"/>
  <c r="O12" i="65"/>
  <c r="L13" i="59"/>
  <c r="L99" i="69"/>
  <c r="M99" i="69"/>
  <c r="O99" i="69" s="1"/>
  <c r="L13" i="60"/>
  <c r="L98" i="69"/>
  <c r="M10" i="64"/>
  <c r="O10" i="64" s="1"/>
  <c r="M11" i="64"/>
  <c r="M11" i="65"/>
  <c r="M10" i="65"/>
  <c r="O10" i="65" s="1"/>
  <c r="M11" i="63"/>
  <c r="M12" i="63"/>
  <c r="M10" i="63"/>
  <c r="O10" i="63" s="1"/>
  <c r="S84" i="53"/>
  <c r="E17" i="53"/>
  <c r="K107" i="69" s="1"/>
  <c r="M107" i="69" s="1"/>
  <c r="E17" i="55"/>
  <c r="K108" i="69" s="1"/>
  <c r="M108" i="69" s="1"/>
  <c r="S84" i="55"/>
  <c r="P13" i="66"/>
  <c r="Q13" i="66" s="1"/>
  <c r="P12" i="64"/>
  <c r="S84" i="59"/>
  <c r="L10" i="59" s="1"/>
  <c r="N10" i="59" s="1"/>
  <c r="L12" i="59"/>
  <c r="L11" i="59"/>
  <c r="E17" i="60"/>
  <c r="K98" i="69" s="1"/>
  <c r="S84" i="60"/>
  <c r="P11" i="66"/>
  <c r="P13" i="64"/>
  <c r="Q13" i="64" s="1"/>
  <c r="P13" i="65"/>
  <c r="Q13" i="65" s="1"/>
  <c r="M13" i="63"/>
  <c r="Q16" i="62" l="1"/>
  <c r="Q18" i="73"/>
  <c r="P11" i="64"/>
  <c r="M34" i="66"/>
  <c r="M91" i="69"/>
  <c r="M58" i="69" s="1"/>
  <c r="O108" i="69"/>
  <c r="M90" i="69"/>
  <c r="M57" i="69" s="1"/>
  <c r="O107" i="69"/>
  <c r="P12" i="65"/>
  <c r="Q12" i="65" s="1"/>
  <c r="M98" i="69"/>
  <c r="O98" i="69" s="1"/>
  <c r="P12" i="63"/>
  <c r="Q12" i="63" s="1"/>
  <c r="P11" i="65"/>
  <c r="M12" i="59"/>
  <c r="M11" i="59"/>
  <c r="P11" i="59" s="1"/>
  <c r="P11" i="63"/>
  <c r="P10" i="66"/>
  <c r="L34" i="66" s="1"/>
  <c r="L12" i="53"/>
  <c r="L11" i="53"/>
  <c r="L10" i="53"/>
  <c r="N10" i="53" s="1"/>
  <c r="L10" i="55"/>
  <c r="N10" i="55" s="1"/>
  <c r="L11" i="55"/>
  <c r="N11" i="55" s="1"/>
  <c r="L12" i="55"/>
  <c r="N12" i="55" s="1"/>
  <c r="Q12" i="64"/>
  <c r="M34" i="64"/>
  <c r="L12" i="60"/>
  <c r="L11" i="60"/>
  <c r="L10" i="60"/>
  <c r="N10" i="60" s="1"/>
  <c r="P10" i="64"/>
  <c r="P10" i="65"/>
  <c r="M10" i="59"/>
  <c r="O10" i="59" s="1"/>
  <c r="P10" i="63"/>
  <c r="P13" i="63"/>
  <c r="Q13" i="63" s="1"/>
  <c r="M13" i="53"/>
  <c r="M13" i="59"/>
  <c r="Q12" i="62" l="1"/>
  <c r="Q14" i="73"/>
  <c r="Q15" i="62"/>
  <c r="Q17" i="73"/>
  <c r="Q14" i="62"/>
  <c r="Q16" i="73"/>
  <c r="I16" i="62"/>
  <c r="I18" i="73"/>
  <c r="Q10" i="62"/>
  <c r="Q12" i="73"/>
  <c r="N91" i="69"/>
  <c r="N58" i="69" s="1"/>
  <c r="O58" i="69" s="1"/>
  <c r="L34" i="64"/>
  <c r="M11" i="55"/>
  <c r="N90" i="69"/>
  <c r="N57" i="69" s="1"/>
  <c r="P12" i="59"/>
  <c r="Q12" i="59" s="1"/>
  <c r="M10" i="55"/>
  <c r="O10" i="55" s="1"/>
  <c r="L34" i="65"/>
  <c r="M34" i="65"/>
  <c r="M10" i="60"/>
  <c r="O10" i="60" s="1"/>
  <c r="M11" i="60"/>
  <c r="M10" i="53"/>
  <c r="O10" i="53" s="1"/>
  <c r="M11" i="53"/>
  <c r="M12" i="53"/>
  <c r="P14" i="66"/>
  <c r="P15" i="66" s="1"/>
  <c r="P13" i="59"/>
  <c r="Q13" i="59" s="1"/>
  <c r="P14" i="64"/>
  <c r="P15" i="64" s="1"/>
  <c r="P14" i="65"/>
  <c r="M34" i="63"/>
  <c r="L34" i="63"/>
  <c r="I12" i="73" s="1"/>
  <c r="P14" i="63"/>
  <c r="P13" i="53"/>
  <c r="Q13" i="53" s="1"/>
  <c r="M12" i="55"/>
  <c r="M13" i="55"/>
  <c r="I15" i="62" l="1"/>
  <c r="I17" i="73"/>
  <c r="F10" i="62"/>
  <c r="F12" i="73"/>
  <c r="I14" i="62"/>
  <c r="I16" i="73"/>
  <c r="P58" i="69"/>
  <c r="O57" i="69"/>
  <c r="P57" i="69" s="1"/>
  <c r="P11" i="55"/>
  <c r="P10" i="55"/>
  <c r="P11" i="60"/>
  <c r="P12" i="53"/>
  <c r="Q12" i="53" s="1"/>
  <c r="P11" i="53"/>
  <c r="P10" i="53"/>
  <c r="P10" i="59"/>
  <c r="L34" i="59" s="1"/>
  <c r="M34" i="59"/>
  <c r="P10" i="60"/>
  <c r="P15" i="65"/>
  <c r="P15" i="63"/>
  <c r="I10" i="62"/>
  <c r="M13" i="60"/>
  <c r="M12" i="60"/>
  <c r="P12" i="55"/>
  <c r="Q34" i="62" l="1"/>
  <c r="Q23" i="73"/>
  <c r="Q33" i="62"/>
  <c r="Q22" i="73"/>
  <c r="Q11" i="62"/>
  <c r="Q13" i="73"/>
  <c r="I12" i="62"/>
  <c r="I14" i="73"/>
  <c r="M34" i="53"/>
  <c r="L34" i="53"/>
  <c r="P14" i="59"/>
  <c r="P15" i="59" s="1"/>
  <c r="P14" i="53"/>
  <c r="P15" i="53" s="1"/>
  <c r="P13" i="60"/>
  <c r="Q13" i="60" s="1"/>
  <c r="Q12" i="55"/>
  <c r="L34" i="55"/>
  <c r="I23" i="73" s="1"/>
  <c r="L34" i="60"/>
  <c r="I13" i="73" s="1"/>
  <c r="P12" i="60"/>
  <c r="P13" i="55"/>
  <c r="M34" i="55" s="1"/>
  <c r="I33" i="62" l="1"/>
  <c r="I22" i="73"/>
  <c r="F33" i="62"/>
  <c r="F22" i="73"/>
  <c r="F34" i="62"/>
  <c r="F23" i="73"/>
  <c r="Q12" i="60"/>
  <c r="P14" i="60" s="1"/>
  <c r="P15" i="60" s="1"/>
  <c r="M34" i="60"/>
  <c r="I34" i="62"/>
  <c r="I11" i="62"/>
  <c r="Q13" i="55"/>
  <c r="P14" i="55" s="1"/>
  <c r="F11" i="62" l="1"/>
  <c r="F13" i="73"/>
  <c r="P15" i="55"/>
  <c r="E67" i="52"/>
  <c r="L79" i="52" s="1"/>
  <c r="M65" i="52"/>
  <c r="M66" i="52" s="1"/>
  <c r="N66" i="52" s="1"/>
  <c r="H65" i="52"/>
  <c r="H66" i="52" s="1"/>
  <c r="B57" i="52"/>
  <c r="B56" i="52"/>
  <c r="B55" i="52"/>
  <c r="H47" i="52"/>
  <c r="E20" i="52" s="1"/>
  <c r="P30" i="52"/>
  <c r="P21" i="73" s="1"/>
  <c r="L32" i="62" l="1"/>
  <c r="P32" i="62"/>
  <c r="Q75" i="52"/>
  <c r="Q79" i="52"/>
  <c r="L81" i="52"/>
  <c r="Q72" i="52"/>
  <c r="L73" i="52"/>
  <c r="L80" i="52"/>
  <c r="L74" i="52"/>
  <c r="Q80" i="52"/>
  <c r="P20" i="52"/>
  <c r="L18" i="52"/>
  <c r="N18" i="52" s="1"/>
  <c r="L70" i="52"/>
  <c r="Q76" i="52"/>
  <c r="Q71" i="52"/>
  <c r="L77" i="52"/>
  <c r="L76" i="52"/>
  <c r="L72" i="52"/>
  <c r="L78" i="52"/>
  <c r="I66" i="52"/>
  <c r="S66" i="52"/>
  <c r="Q73" i="52"/>
  <c r="Q77" i="52"/>
  <c r="Q81" i="52"/>
  <c r="S65" i="52"/>
  <c r="Q70" i="52"/>
  <c r="Q74" i="52"/>
  <c r="Q78" i="52"/>
  <c r="L71" i="52"/>
  <c r="L75" i="52"/>
  <c r="L6" i="50"/>
  <c r="L84" i="52" l="1"/>
  <c r="Q84" i="52"/>
  <c r="E18" i="52" s="1"/>
  <c r="L13" i="52" l="1"/>
  <c r="N13" i="52" s="1"/>
  <c r="L106" i="69"/>
  <c r="M13" i="52"/>
  <c r="E17" i="52"/>
  <c r="K106" i="69" s="1"/>
  <c r="S84" i="52"/>
  <c r="L7" i="50"/>
  <c r="P7" i="50" s="1"/>
  <c r="M106" i="69" l="1"/>
  <c r="M89" i="69"/>
  <c r="M56" i="69" s="1"/>
  <c r="O106" i="69"/>
  <c r="P13" i="52"/>
  <c r="L12" i="52"/>
  <c r="N12" i="52" s="1"/>
  <c r="L11" i="52"/>
  <c r="N11" i="52" s="1"/>
  <c r="L10" i="52"/>
  <c r="N10" i="52" s="1"/>
  <c r="P6" i="50"/>
  <c r="H43" i="50" s="1"/>
  <c r="E24" i="73" s="1"/>
  <c r="M12" i="52" l="1"/>
  <c r="N89" i="69"/>
  <c r="N56" i="69" s="1"/>
  <c r="M10" i="52"/>
  <c r="O10" i="52" s="1"/>
  <c r="M11" i="52"/>
  <c r="E48" i="62"/>
  <c r="Q11" i="50"/>
  <c r="P12" i="50" s="1"/>
  <c r="Q6" i="50"/>
  <c r="P8" i="50" s="1"/>
  <c r="P56" i="69" l="1"/>
  <c r="O56" i="69"/>
  <c r="P11" i="52"/>
  <c r="N43" i="50"/>
  <c r="P10" i="52"/>
  <c r="P13" i="50"/>
  <c r="L34" i="52" l="1"/>
  <c r="I21" i="73" s="1"/>
  <c r="Q32" i="62"/>
  <c r="Q21" i="73"/>
  <c r="P43" i="50"/>
  <c r="K24" i="73"/>
  <c r="N24" i="73" s="1"/>
  <c r="K48" i="62"/>
  <c r="N48" i="62" s="1"/>
  <c r="E67" i="47"/>
  <c r="Q79" i="47" s="1"/>
  <c r="M65" i="47"/>
  <c r="M66" i="47" s="1"/>
  <c r="N66" i="47" s="1"/>
  <c r="H65" i="47"/>
  <c r="H66" i="47" s="1"/>
  <c r="B57" i="47"/>
  <c r="B56" i="47"/>
  <c r="B55" i="47"/>
  <c r="H47" i="47"/>
  <c r="E20" i="47" s="1"/>
  <c r="G13" i="62"/>
  <c r="P30" i="47"/>
  <c r="I32" i="62" l="1"/>
  <c r="L13" i="62"/>
  <c r="P13" i="62"/>
  <c r="L18" i="47"/>
  <c r="N18" i="47" s="1"/>
  <c r="L73" i="47"/>
  <c r="L77" i="47"/>
  <c r="L81" i="47"/>
  <c r="I66" i="47"/>
  <c r="S66" i="47"/>
  <c r="L72" i="47"/>
  <c r="L76" i="47"/>
  <c r="L80" i="47"/>
  <c r="Q72" i="47"/>
  <c r="Q76" i="47"/>
  <c r="Q80" i="47"/>
  <c r="L70" i="47"/>
  <c r="L74" i="47"/>
  <c r="L78" i="47"/>
  <c r="Q73" i="47"/>
  <c r="Q77" i="47"/>
  <c r="Q81" i="47"/>
  <c r="S65" i="47"/>
  <c r="Q70" i="47"/>
  <c r="Q74" i="47"/>
  <c r="Q78" i="47"/>
  <c r="L71" i="47"/>
  <c r="L75" i="47"/>
  <c r="L79" i="47"/>
  <c r="Q71" i="47"/>
  <c r="Q75" i="47"/>
  <c r="L84" i="47" l="1"/>
  <c r="Q7" i="47"/>
  <c r="Q84" i="47"/>
  <c r="E18" i="47" s="1"/>
  <c r="L13" i="47" l="1"/>
  <c r="L100" i="69"/>
  <c r="E17" i="47"/>
  <c r="K100" i="69" s="1"/>
  <c r="M100" i="69" s="1"/>
  <c r="S84" i="47"/>
  <c r="O100" i="69" l="1"/>
  <c r="M86" i="69"/>
  <c r="M53" i="69" s="1"/>
  <c r="L10" i="47"/>
  <c r="N10" i="47" s="1"/>
  <c r="L12" i="47"/>
  <c r="L11" i="47"/>
  <c r="N86" i="69" l="1"/>
  <c r="N53" i="69" s="1"/>
  <c r="M11" i="47"/>
  <c r="M12" i="47"/>
  <c r="M10" i="47"/>
  <c r="O10" i="47" s="1"/>
  <c r="O53" i="69" l="1"/>
  <c r="P53" i="69" s="1"/>
  <c r="M13" i="47"/>
  <c r="P12" i="47"/>
  <c r="Q12" i="47" s="1"/>
  <c r="P11" i="47"/>
  <c r="Q13" i="62" l="1"/>
  <c r="Q15" i="73"/>
  <c r="P10" i="47"/>
  <c r="L34" i="47" s="1"/>
  <c r="P13" i="47"/>
  <c r="M34" i="47" l="1"/>
  <c r="Q13" i="47"/>
  <c r="I13" i="62"/>
  <c r="I15" i="73"/>
  <c r="P14" i="47"/>
  <c r="E31" i="40"/>
  <c r="P15" i="47" l="1"/>
  <c r="P23" i="40"/>
  <c r="M19" i="67" s="1"/>
  <c r="L19" i="67" s="1"/>
  <c r="P19" i="67" s="1"/>
  <c r="I34" i="67" s="1"/>
  <c r="F20" i="73" s="1"/>
  <c r="P15" i="40"/>
  <c r="M19" i="65" s="1"/>
  <c r="L19" i="65" s="1"/>
  <c r="P19" i="65" s="1"/>
  <c r="I34" i="65" s="1"/>
  <c r="F16" i="73" s="1"/>
  <c r="P17" i="40"/>
  <c r="M19" i="66" s="1"/>
  <c r="L19" i="66" s="1"/>
  <c r="P19" i="66" s="1"/>
  <c r="I34" i="66" s="1"/>
  <c r="F18" i="73" s="1"/>
  <c r="P13" i="40"/>
  <c r="M19" i="59" s="1"/>
  <c r="L19" i="59" s="1"/>
  <c r="P19" i="59" s="1"/>
  <c r="I34" i="59" s="1"/>
  <c r="F14" i="73" s="1"/>
  <c r="P16" i="40"/>
  <c r="M19" i="64" s="1"/>
  <c r="L19" i="64" s="1"/>
  <c r="P19" i="64" s="1"/>
  <c r="I34" i="64" s="1"/>
  <c r="F17" i="73" s="1"/>
  <c r="P9" i="40"/>
  <c r="P14" i="40"/>
  <c r="M19" i="47" s="1"/>
  <c r="L19" i="47" s="1"/>
  <c r="P19" i="47" s="1"/>
  <c r="I34" i="47" s="1"/>
  <c r="F15" i="73" s="1"/>
  <c r="N47" i="67"/>
  <c r="N47" i="66"/>
  <c r="N47" i="65"/>
  <c r="N47" i="64"/>
  <c r="N47" i="60"/>
  <c r="N47" i="53"/>
  <c r="N47" i="52"/>
  <c r="N47" i="37"/>
  <c r="N47" i="63"/>
  <c r="N47" i="59"/>
  <c r="N47" i="55"/>
  <c r="N47" i="47"/>
  <c r="N47" i="39"/>
  <c r="F17" i="40"/>
  <c r="M18" i="66" s="1"/>
  <c r="P18" i="66" s="1"/>
  <c r="H34" i="66" s="1"/>
  <c r="E18" i="73" s="1"/>
  <c r="F21" i="40"/>
  <c r="F9" i="40"/>
  <c r="F24" i="40"/>
  <c r="M18" i="52" s="1"/>
  <c r="F10" i="40"/>
  <c r="F27" i="40"/>
  <c r="F26" i="40"/>
  <c r="F23" i="40"/>
  <c r="M18" i="67" s="1"/>
  <c r="P18" i="67" s="1"/>
  <c r="H34" i="67" s="1"/>
  <c r="E20" i="73" s="1"/>
  <c r="F12" i="40"/>
  <c r="M18" i="60" s="1"/>
  <c r="P18" i="60" s="1"/>
  <c r="H34" i="60" s="1"/>
  <c r="E13" i="73" s="1"/>
  <c r="F16" i="40"/>
  <c r="M18" i="64" s="1"/>
  <c r="P18" i="64" s="1"/>
  <c r="H34" i="64" s="1"/>
  <c r="E17" i="73" s="1"/>
  <c r="F13" i="40"/>
  <c r="M18" i="59" s="1"/>
  <c r="P18" i="59" s="1"/>
  <c r="F15" i="40"/>
  <c r="M18" i="65" s="1"/>
  <c r="P18" i="65" s="1"/>
  <c r="H34" i="65" s="1"/>
  <c r="E16" i="73" s="1"/>
  <c r="F14" i="40"/>
  <c r="M18" i="47" s="1"/>
  <c r="P18" i="47" s="1"/>
  <c r="F13" i="62" l="1"/>
  <c r="Q19" i="47"/>
  <c r="Q19" i="64"/>
  <c r="F15" i="62"/>
  <c r="F12" i="62"/>
  <c r="Q19" i="59"/>
  <c r="F16" i="62"/>
  <c r="Q19" i="66"/>
  <c r="F14" i="62"/>
  <c r="Q19" i="65"/>
  <c r="F31" i="62"/>
  <c r="Q19" i="67"/>
  <c r="Q18" i="47"/>
  <c r="H34" i="47"/>
  <c r="E15" i="73" s="1"/>
  <c r="Q18" i="59"/>
  <c r="H34" i="59"/>
  <c r="E31" i="62"/>
  <c r="Q18" i="67"/>
  <c r="Q18" i="66"/>
  <c r="E16" i="62"/>
  <c r="E14" i="62"/>
  <c r="Q18" i="65"/>
  <c r="E15" i="62"/>
  <c r="Q18" i="64"/>
  <c r="M18" i="63"/>
  <c r="P18" i="63" s="1"/>
  <c r="M18" i="55"/>
  <c r="P18" i="55" s="1"/>
  <c r="H34" i="55" s="1"/>
  <c r="E23" i="73" s="1"/>
  <c r="Q18" i="60"/>
  <c r="P21" i="60" s="1"/>
  <c r="N34" i="60" s="1"/>
  <c r="E11" i="62"/>
  <c r="M18" i="53"/>
  <c r="P18" i="53" s="1"/>
  <c r="E67" i="39"/>
  <c r="L80" i="39" s="1"/>
  <c r="M65" i="39"/>
  <c r="M66" i="39" s="1"/>
  <c r="H65" i="39"/>
  <c r="H66" i="39" s="1"/>
  <c r="B57" i="39"/>
  <c r="B56" i="39"/>
  <c r="B55" i="39"/>
  <c r="H47" i="39"/>
  <c r="E20" i="39" s="1"/>
  <c r="L18" i="39" s="1"/>
  <c r="N18" i="39" s="1"/>
  <c r="P30" i="39"/>
  <c r="H47" i="37"/>
  <c r="P34" i="60" l="1"/>
  <c r="K13" i="73"/>
  <c r="N13" i="73" s="1"/>
  <c r="E12" i="62"/>
  <c r="E14" i="73"/>
  <c r="P21" i="64"/>
  <c r="N34" i="64" s="1"/>
  <c r="K15" i="62" s="1"/>
  <c r="P21" i="65"/>
  <c r="N34" i="65" s="1"/>
  <c r="P21" i="59"/>
  <c r="N34" i="59" s="1"/>
  <c r="P21" i="66"/>
  <c r="N34" i="66" s="1"/>
  <c r="P21" i="67"/>
  <c r="N34" i="67" s="1"/>
  <c r="Q18" i="53"/>
  <c r="H34" i="53"/>
  <c r="E22" i="73" s="1"/>
  <c r="Q18" i="63"/>
  <c r="P21" i="63" s="1"/>
  <c r="N34" i="63" s="1"/>
  <c r="K12" i="73" s="1"/>
  <c r="H34" i="63"/>
  <c r="L30" i="62"/>
  <c r="P30" i="62"/>
  <c r="M18" i="39"/>
  <c r="P22" i="60"/>
  <c r="K11" i="62"/>
  <c r="N11" i="62" s="1"/>
  <c r="Q18" i="55"/>
  <c r="P21" i="55" s="1"/>
  <c r="E34" i="62"/>
  <c r="N66" i="39"/>
  <c r="Q75" i="39"/>
  <c r="Q76" i="39"/>
  <c r="Q79" i="39"/>
  <c r="Q80" i="39"/>
  <c r="Q71" i="39"/>
  <c r="Q72" i="39"/>
  <c r="I66" i="39"/>
  <c r="S66" i="39"/>
  <c r="L73" i="39"/>
  <c r="L77" i="39"/>
  <c r="L81" i="39"/>
  <c r="Q73" i="39"/>
  <c r="Q77" i="39"/>
  <c r="Q81" i="39"/>
  <c r="P20" i="39"/>
  <c r="L70" i="39"/>
  <c r="L74" i="39"/>
  <c r="L78" i="39"/>
  <c r="S65" i="39"/>
  <c r="Q70" i="39"/>
  <c r="Q74" i="39"/>
  <c r="Q78" i="39"/>
  <c r="L71" i="39"/>
  <c r="L75" i="39"/>
  <c r="L79" i="39"/>
  <c r="L72" i="39"/>
  <c r="L76" i="39"/>
  <c r="Q7" i="37"/>
  <c r="P22" i="64" l="1"/>
  <c r="P34" i="67"/>
  <c r="K20" i="73"/>
  <c r="N20" i="73" s="1"/>
  <c r="P34" i="65"/>
  <c r="K16" i="73"/>
  <c r="N16" i="73" s="1"/>
  <c r="K12" i="62"/>
  <c r="N12" i="62" s="1"/>
  <c r="K14" i="73"/>
  <c r="N14" i="73" s="1"/>
  <c r="P34" i="64"/>
  <c r="K17" i="73"/>
  <c r="N17" i="73" s="1"/>
  <c r="P34" i="66"/>
  <c r="K18" i="73"/>
  <c r="N18" i="73" s="1"/>
  <c r="E10" i="62"/>
  <c r="E12" i="73"/>
  <c r="N12" i="73" s="1"/>
  <c r="P22" i="65"/>
  <c r="K14" i="62"/>
  <c r="P34" i="59"/>
  <c r="P22" i="59"/>
  <c r="P22" i="66"/>
  <c r="P22" i="67"/>
  <c r="K16" i="62"/>
  <c r="N16" i="62" s="1"/>
  <c r="K31" i="62"/>
  <c r="N31" i="62" s="1"/>
  <c r="P34" i="63"/>
  <c r="P22" i="55"/>
  <c r="N34" i="55"/>
  <c r="K10" i="62"/>
  <c r="P22" i="63"/>
  <c r="L84" i="39"/>
  <c r="Q84" i="39"/>
  <c r="E18" i="39" s="1"/>
  <c r="P34" i="55" l="1"/>
  <c r="K23" i="73"/>
  <c r="N23" i="73" s="1"/>
  <c r="N10" i="62"/>
  <c r="L13" i="39"/>
  <c r="L104" i="69"/>
  <c r="K34" i="62"/>
  <c r="N34" i="62" s="1"/>
  <c r="E17" i="39"/>
  <c r="K104" i="69" s="1"/>
  <c r="S84" i="39"/>
  <c r="M104" i="69" l="1"/>
  <c r="M87" i="69"/>
  <c r="M54" i="69" s="1"/>
  <c r="O104" i="69"/>
  <c r="L10" i="39"/>
  <c r="N10" i="39" s="1"/>
  <c r="L12" i="39"/>
  <c r="L11" i="39"/>
  <c r="M12" i="39" l="1"/>
  <c r="N87" i="69"/>
  <c r="N54" i="69" s="1"/>
  <c r="P12" i="39"/>
  <c r="Q12" i="39" s="1"/>
  <c r="M11" i="39"/>
  <c r="M10" i="39"/>
  <c r="O10" i="39" s="1"/>
  <c r="M13" i="39"/>
  <c r="P54" i="69" l="1"/>
  <c r="O54" i="69"/>
  <c r="P11" i="39"/>
  <c r="P10" i="39"/>
  <c r="P13" i="39"/>
  <c r="Q13" i="39" s="1"/>
  <c r="Q30" i="62" l="1"/>
  <c r="Q19" i="73"/>
  <c r="L34" i="39"/>
  <c r="P14" i="39"/>
  <c r="M34" i="39"/>
  <c r="E67" i="37"/>
  <c r="M65" i="37"/>
  <c r="M66" i="37" s="1"/>
  <c r="H65" i="37"/>
  <c r="H66" i="37" s="1"/>
  <c r="B57" i="37"/>
  <c r="B56" i="37"/>
  <c r="B55" i="37"/>
  <c r="E20" i="37"/>
  <c r="G9" i="62"/>
  <c r="G5" i="62" s="1"/>
  <c r="P30" i="37"/>
  <c r="P11" i="73" s="1"/>
  <c r="P7" i="73" s="1"/>
  <c r="F30" i="62" l="1"/>
  <c r="F19" i="73"/>
  <c r="I30" i="62"/>
  <c r="I19" i="73"/>
  <c r="P15" i="39"/>
  <c r="L9" i="62"/>
  <c r="L5" i="62" s="1"/>
  <c r="P9" i="62"/>
  <c r="P5" i="62" s="1"/>
  <c r="M19" i="37"/>
  <c r="M18" i="37"/>
  <c r="L18" i="37"/>
  <c r="N18" i="37" s="1"/>
  <c r="N66" i="37"/>
  <c r="P6" i="37"/>
  <c r="L79" i="37"/>
  <c r="L80" i="37"/>
  <c r="L73" i="37"/>
  <c r="L81" i="37"/>
  <c r="L77" i="37"/>
  <c r="L74" i="37"/>
  <c r="L72" i="37"/>
  <c r="L75" i="37"/>
  <c r="L78" i="37"/>
  <c r="L76" i="37"/>
  <c r="Q72" i="37"/>
  <c r="Q80" i="37"/>
  <c r="Q76" i="37"/>
  <c r="I66" i="37"/>
  <c r="S66" i="37"/>
  <c r="Q73" i="37"/>
  <c r="Q77" i="37"/>
  <c r="Q81" i="37"/>
  <c r="L70" i="37"/>
  <c r="S65" i="37"/>
  <c r="Q70" i="37"/>
  <c r="Q74" i="37"/>
  <c r="Q78" i="37"/>
  <c r="L71" i="37"/>
  <c r="Q71" i="37"/>
  <c r="Q75" i="37"/>
  <c r="Q79" i="37"/>
  <c r="Q6" i="37" l="1"/>
  <c r="H5" i="62"/>
  <c r="Q84" i="37"/>
  <c r="E18" i="37" s="1"/>
  <c r="L84" i="37"/>
  <c r="L13" i="37" l="1"/>
  <c r="N13" i="37" s="1"/>
  <c r="L96" i="69"/>
  <c r="S84" i="37"/>
  <c r="E17" i="37"/>
  <c r="K96" i="69" s="1"/>
  <c r="M96" i="69" s="1"/>
  <c r="M85" i="69" l="1"/>
  <c r="O96" i="69"/>
  <c r="L12" i="37"/>
  <c r="N12" i="37" s="1"/>
  <c r="L10" i="37"/>
  <c r="N10" i="37" s="1"/>
  <c r="L11" i="37"/>
  <c r="N11" i="37" s="1"/>
  <c r="L19" i="37"/>
  <c r="P19" i="37" s="1"/>
  <c r="I34" i="37" s="1"/>
  <c r="P18" i="39"/>
  <c r="H34" i="39" s="1"/>
  <c r="E19" i="73" s="1"/>
  <c r="P18" i="37"/>
  <c r="H34" i="37" s="1"/>
  <c r="E11" i="73" s="1"/>
  <c r="N85" i="69" l="1"/>
  <c r="N52" i="69" s="1"/>
  <c r="M52" i="69"/>
  <c r="M11" i="37"/>
  <c r="M10" i="37"/>
  <c r="O10" i="37" s="1"/>
  <c r="M12" i="37"/>
  <c r="Q19" i="37"/>
  <c r="E9" i="62"/>
  <c r="Q18" i="37"/>
  <c r="P18" i="52"/>
  <c r="E13" i="62"/>
  <c r="Q18" i="39"/>
  <c r="P21" i="39" s="1"/>
  <c r="N34" i="39" s="1"/>
  <c r="E30" i="62"/>
  <c r="O52" i="69" l="1"/>
  <c r="P34" i="39"/>
  <c r="K19" i="73"/>
  <c r="N19" i="73" s="1"/>
  <c r="P52" i="69"/>
  <c r="P66" i="69" s="1"/>
  <c r="P68" i="69" s="1"/>
  <c r="P71" i="69" s="1"/>
  <c r="E20" i="69" s="1"/>
  <c r="L7" i="69" s="1"/>
  <c r="P7" i="69" s="1"/>
  <c r="M66" i="69"/>
  <c r="P11" i="37"/>
  <c r="Q18" i="52"/>
  <c r="P21" i="52" s="1"/>
  <c r="H34" i="52"/>
  <c r="P10" i="37"/>
  <c r="M13" i="37"/>
  <c r="P12" i="37"/>
  <c r="Q12" i="37" s="1"/>
  <c r="P21" i="37"/>
  <c r="P22" i="37" s="1"/>
  <c r="P22" i="39"/>
  <c r="K30" i="62"/>
  <c r="N30" i="62" s="1"/>
  <c r="P21" i="53"/>
  <c r="N34" i="53" s="1"/>
  <c r="E33" i="62"/>
  <c r="E32" i="62" l="1"/>
  <c r="E21" i="73"/>
  <c r="P34" i="53"/>
  <c r="K22" i="73"/>
  <c r="N22" i="73" s="1"/>
  <c r="Q9" i="62"/>
  <c r="Q5" i="62" s="1"/>
  <c r="Q11" i="73"/>
  <c r="Q7" i="73" s="1"/>
  <c r="Q7" i="69"/>
  <c r="L12" i="69"/>
  <c r="O12" i="69" s="1"/>
  <c r="P12" i="69" s="1"/>
  <c r="M35" i="69" s="1"/>
  <c r="L35" i="69"/>
  <c r="L34" i="37"/>
  <c r="I11" i="73" s="1"/>
  <c r="E5" i="62"/>
  <c r="P22" i="53"/>
  <c r="K33" i="62"/>
  <c r="N33" i="62" s="1"/>
  <c r="N14" i="62"/>
  <c r="P22" i="52"/>
  <c r="P21" i="47"/>
  <c r="N34" i="47" s="1"/>
  <c r="P13" i="37"/>
  <c r="Q13" i="37" s="1"/>
  <c r="P34" i="47" l="1"/>
  <c r="K15" i="73"/>
  <c r="N15" i="73" s="1"/>
  <c r="E7" i="73"/>
  <c r="I49" i="62"/>
  <c r="I25" i="73"/>
  <c r="I7" i="73" s="1"/>
  <c r="M49" i="62"/>
  <c r="M5" i="62" s="1"/>
  <c r="M25" i="73"/>
  <c r="M7" i="73" s="1"/>
  <c r="P13" i="69"/>
  <c r="N35" i="69" s="1"/>
  <c r="M34" i="37"/>
  <c r="I9" i="62"/>
  <c r="N15" i="62"/>
  <c r="P22" i="47"/>
  <c r="K13" i="62"/>
  <c r="N13" i="62" s="1"/>
  <c r="P14" i="37"/>
  <c r="I5" i="62" l="1"/>
  <c r="F9" i="62"/>
  <c r="F11" i="73"/>
  <c r="P35" i="69"/>
  <c r="K25" i="73"/>
  <c r="K49" i="62"/>
  <c r="N49" i="62" s="1"/>
  <c r="N46" i="62" s="1"/>
  <c r="N5" i="62" s="1"/>
  <c r="P14" i="69"/>
  <c r="N34" i="37"/>
  <c r="P15" i="37"/>
  <c r="P34" i="37" l="1"/>
  <c r="K11" i="73"/>
  <c r="N11" i="73" s="1"/>
  <c r="N25" i="73"/>
  <c r="K9" i="62"/>
  <c r="N9" i="62" s="1"/>
  <c r="N7" i="62" s="1"/>
  <c r="E24" i="52"/>
  <c r="O12" i="52" l="1"/>
  <c r="P12" i="52" s="1"/>
  <c r="M34" i="52" s="1"/>
  <c r="F21" i="73" s="1"/>
  <c r="Q13" i="52"/>
  <c r="F7" i="73" l="1"/>
  <c r="Q12" i="52"/>
  <c r="P14" i="52" s="1"/>
  <c r="N34" i="52" s="1"/>
  <c r="K21" i="73" s="1"/>
  <c r="K7" i="73" s="1"/>
  <c r="N7" i="73" s="1"/>
  <c r="N21" i="73" l="1"/>
  <c r="J5" i="62"/>
  <c r="F32" i="62"/>
  <c r="F5" i="62" s="1"/>
  <c r="P34" i="52"/>
  <c r="P15" i="52"/>
  <c r="K32" i="62"/>
  <c r="N32" i="62" l="1"/>
  <c r="K5" i="62"/>
  <c r="N28" i="62" l="1"/>
</calcChain>
</file>

<file path=xl/sharedStrings.xml><?xml version="1.0" encoding="utf-8"?>
<sst xmlns="http://schemas.openxmlformats.org/spreadsheetml/2006/main" count="2723" uniqueCount="864">
  <si>
    <t>Büro</t>
  </si>
  <si>
    <t>Labor</t>
  </si>
  <si>
    <t>Zuschläge Lager</t>
  </si>
  <si>
    <t>Mathematik</t>
  </si>
  <si>
    <t>Architektur</t>
  </si>
  <si>
    <t>Bauingenieurwesen</t>
  </si>
  <si>
    <t>Informatik</t>
  </si>
  <si>
    <t>Maschinenbau</t>
  </si>
  <si>
    <t>Lehr- und Forschungsbereich</t>
  </si>
  <si>
    <t>Sozialwissenschaften</t>
  </si>
  <si>
    <t>Wirtschaftswissenschaften</t>
  </si>
  <si>
    <t>Flächen-bedarf</t>
  </si>
  <si>
    <t>Drittmittel</t>
  </si>
  <si>
    <t>davon Typ 1</t>
  </si>
  <si>
    <t>davon Typ 2</t>
  </si>
  <si>
    <t>Sondertatbestände</t>
  </si>
  <si>
    <t>Flächenbedarf</t>
  </si>
  <si>
    <t>Elektro- und Informationstechnik</t>
  </si>
  <si>
    <t>Summe</t>
  </si>
  <si>
    <t>Allgemeine Lehre</t>
  </si>
  <si>
    <t>Lager</t>
  </si>
  <si>
    <t>Design</t>
  </si>
  <si>
    <t>Fachspez. Lehre</t>
  </si>
  <si>
    <t>Flächenbedarf nach Nutzungsbereichen</t>
  </si>
  <si>
    <t>Stammdaten</t>
  </si>
  <si>
    <t>*</t>
  </si>
  <si>
    <t>Studienplätze</t>
  </si>
  <si>
    <t>Auslastung</t>
  </si>
  <si>
    <t>Drittmitteleinnahmen (in T€)</t>
  </si>
  <si>
    <t>Eingabedatum</t>
  </si>
  <si>
    <t>Zieljahr der Planung</t>
  </si>
  <si>
    <t>RSZ</t>
  </si>
  <si>
    <t>CW</t>
  </si>
  <si>
    <t>alternativ: gesetzter Wert</t>
  </si>
  <si>
    <t>*) leeres Feld = 0 € Drittmitteleinnahmen</t>
  </si>
  <si>
    <t>Bibliothek</t>
  </si>
  <si>
    <t>Kennwert</t>
  </si>
  <si>
    <t>Zahl der Standorte</t>
  </si>
  <si>
    <t>jährliches Wachstum</t>
  </si>
  <si>
    <t>Medien(ziel)bestand</t>
  </si>
  <si>
    <t>Hochschulverwaltung</t>
  </si>
  <si>
    <t>Personal [VZÄ]</t>
  </si>
  <si>
    <t>Lager Werkstattflächen</t>
  </si>
  <si>
    <t>Betriebstechn. Werkstätten</t>
  </si>
  <si>
    <t>Mechan. Werkstatt</t>
  </si>
  <si>
    <t>Elektrotechn. Werkstatt</t>
  </si>
  <si>
    <t>Schreinerei</t>
  </si>
  <si>
    <t>HKL, Sanitär</t>
  </si>
  <si>
    <t>Werkst: Maurer, Maler,</t>
  </si>
  <si>
    <t>Dachdecker, Glaser</t>
  </si>
  <si>
    <t>Hausmeister</t>
  </si>
  <si>
    <t>Druckerei</t>
  </si>
  <si>
    <t>Flächen</t>
  </si>
  <si>
    <t>Zentrale Einrichtungen</t>
  </si>
  <si>
    <t xml:space="preserve">Betriebstechnische Werkstätten </t>
  </si>
  <si>
    <t>Sonstige Medien</t>
  </si>
  <si>
    <t>DFG Personalmittelsatz Doktorand:innen</t>
  </si>
  <si>
    <t>Eingangs-größe</t>
  </si>
  <si>
    <t>Profilfaktor</t>
  </si>
  <si>
    <t>grundfinanziert</t>
  </si>
  <si>
    <t>Bachelor</t>
  </si>
  <si>
    <t>Master</t>
  </si>
  <si>
    <t>Fakultät/Fachbereich</t>
  </si>
  <si>
    <t>Department, Institut o.a.</t>
  </si>
  <si>
    <t>Bemessungseinheiten</t>
  </si>
  <si>
    <t>hauptberufl. Personal</t>
  </si>
  <si>
    <t>Lehrangebot, je Semester in SWS</t>
  </si>
  <si>
    <t>Anteil Lehrangebot</t>
  </si>
  <si>
    <t xml:space="preserve">     </t>
  </si>
  <si>
    <t>Personalkostensatz</t>
  </si>
  <si>
    <r>
      <t xml:space="preserve">Drittmitteleinnahmen </t>
    </r>
    <r>
      <rPr>
        <i/>
        <sz val="8"/>
        <rFont val="Arial"/>
        <family val="2"/>
      </rPr>
      <t>(in 1.000 EUR)</t>
    </r>
  </si>
  <si>
    <t>Bachelor: fachspez. Fläche/Studienplatz</t>
  </si>
  <si>
    <t>Master: fachspez. Fläche/Studienplatz</t>
  </si>
  <si>
    <t>Wissenschaftler:innen (VZÄ)</t>
  </si>
  <si>
    <t>nebenberufl., Lehraufträge</t>
  </si>
  <si>
    <t>davon Professuren</t>
  </si>
  <si>
    <t>drittmittelfinanziert</t>
  </si>
  <si>
    <t>Fläche je Wissen-schaftler:in [VZÄ]</t>
  </si>
  <si>
    <t>Auslastungsfaktor</t>
  </si>
  <si>
    <t>Fläche je 100 T€</t>
  </si>
  <si>
    <t>Basisjahr 2025</t>
  </si>
  <si>
    <t>personalkosten-korrigiert</t>
  </si>
  <si>
    <t>drittmittelfinanziert: Fläche je 100 T€</t>
  </si>
  <si>
    <t>Anteilsquote</t>
  </si>
  <si>
    <t>Typ 1</t>
  </si>
  <si>
    <t>Typ 2</t>
  </si>
  <si>
    <t>Hallen/Technikum</t>
  </si>
  <si>
    <t>Grundfinanzierung</t>
  </si>
  <si>
    <t>Typ 0</t>
  </si>
  <si>
    <t>Fläche je Prof.</t>
  </si>
  <si>
    <t>Fläche je Wiss. [VZÄ]</t>
  </si>
  <si>
    <t>Studentisches Lernen</t>
  </si>
  <si>
    <t>[Department, Institut o.a.]</t>
  </si>
  <si>
    <t>[Fakultät/Fachbereich]</t>
  </si>
  <si>
    <t>StPl.</t>
  </si>
  <si>
    <t>Ausbildungskapazität (Studienplätze)</t>
  </si>
  <si>
    <t>Vollstudium**</t>
  </si>
  <si>
    <t>Anteil an</t>
  </si>
  <si>
    <t>gewichtet</t>
  </si>
  <si>
    <t>gesamt,</t>
  </si>
  <si>
    <t>**) Hier bitte eintragen, wie hoch der Anteil des Studiengangs an einem vollumfänglichen Studium ist; insbesondere relevant für das Mehr-Fach-Studium.</t>
  </si>
  <si>
    <t>--</t>
  </si>
  <si>
    <t>Studios, Ateliers, Werkstätten</t>
  </si>
  <si>
    <t>Flächenkennwerte der fachlichen Einrichtungen an den Hochschulen für Angewandte Wissenschaften</t>
  </si>
  <si>
    <t>MINT-Fächer</t>
  </si>
  <si>
    <t>Wirtschaftsingenieurwesen</t>
  </si>
  <si>
    <t>Ernährungswissenschaften</t>
  </si>
  <si>
    <t>Gesundheitswissenschaften</t>
  </si>
  <si>
    <t>Kennwert/ Basiswert</t>
  </si>
  <si>
    <t>Fachspezifische Lehre, Bachelor</t>
  </si>
  <si>
    <t>Fachspezifische Lehre, Master</t>
  </si>
  <si>
    <t>Nutzungsbereiche</t>
  </si>
  <si>
    <t>Lager Büro</t>
  </si>
  <si>
    <t>Zuschlag Lager</t>
  </si>
  <si>
    <t>Techn. Personal ohne Werkst.</t>
  </si>
  <si>
    <t>Techn. Personal gesamt</t>
  </si>
  <si>
    <t>Büro: Beschäftigte</t>
  </si>
  <si>
    <t>Büro: zentrale Funktionen</t>
  </si>
  <si>
    <t>Hallen/ Technikum</t>
  </si>
  <si>
    <t>DFG Personalmittelsatz Postdocs</t>
  </si>
  <si>
    <t>Lager für Bewirtschaftung, Aktenarchiv, Gefahrstoffe</t>
  </si>
  <si>
    <t>Summe Hochschule</t>
  </si>
  <si>
    <t>Angewandte Naturwissenschaften</t>
  </si>
  <si>
    <t>(Biologie, Chemie)</t>
  </si>
  <si>
    <t>Hochschule …</t>
  </si>
  <si>
    <t>Design, Gestaltung</t>
  </si>
  <si>
    <t>Auslastungs-faktor</t>
  </si>
  <si>
    <t>Professuren, fachpraktisch</t>
  </si>
  <si>
    <t>Gestaltung, Gesundheits- und Gesellschaftswissenschaften</t>
  </si>
  <si>
    <t>Professuren, Ingenieurwiss.</t>
  </si>
  <si>
    <t>Werkstatt/Hausmeister</t>
  </si>
  <si>
    <t>Mitarbeiter:innen Verwaltung</t>
  </si>
  <si>
    <t>DV-orientiert</t>
  </si>
  <si>
    <t>alle Studienplätze (Typ 0)</t>
  </si>
  <si>
    <t>Selbstlernzentren</t>
  </si>
  <si>
    <t>Zentrale Hochschulbibliothek</t>
  </si>
  <si>
    <t>Zuschläge</t>
  </si>
  <si>
    <t>Medienfläche</t>
  </si>
  <si>
    <t>Benutzer-
arbeits-
plätze</t>
  </si>
  <si>
    <t>Eingangsgröße</t>
  </si>
  <si>
    <t>Medien-
fläche</t>
  </si>
  <si>
    <t>pauschal</t>
  </si>
  <si>
    <t>pro Standort</t>
  </si>
  <si>
    <t>Zentrale Hochschulverwaltung</t>
  </si>
  <si>
    <t>Post-
stelle</t>
  </si>
  <si>
    <t>Bewirt-schaftung</t>
  </si>
  <si>
    <t>Sonder-lager</t>
  </si>
  <si>
    <t>Altakten/
Archiv-flächen</t>
  </si>
  <si>
    <t>Zuschlag Büro-
lager</t>
  </si>
  <si>
    <t>Anzahl 
Standorte</t>
  </si>
  <si>
    <t>Flächen-bedarf
Büro</t>
  </si>
  <si>
    <t xml:space="preserve">0,18 %  - </t>
  </si>
  <si>
    <t>15 m²/St.</t>
  </si>
  <si>
    <t>Werkstattflächen</t>
  </si>
  <si>
    <t>Maurer, Maler 
Dachdecker 
Glaser</t>
  </si>
  <si>
    <t>Zuschlag 
Lager</t>
  </si>
  <si>
    <t>Flächen-bedarf
Werkst.</t>
  </si>
  <si>
    <t>25,0 m²</t>
  </si>
  <si>
    <t>80 m² +</t>
  </si>
  <si>
    <t>Technischer Service</t>
  </si>
  <si>
    <t>Zuschläge Bibliothek</t>
  </si>
  <si>
    <t>Plätze für Nutzer:innen</t>
  </si>
  <si>
    <t>[Bereich, Standort]</t>
  </si>
  <si>
    <t>Bibliotheksergänzung</t>
  </si>
  <si>
    <t>Beschäftigte (VZÄ)</t>
  </si>
  <si>
    <t>Medieneinheiten (in Tsd. ME)</t>
  </si>
  <si>
    <t>Medien</t>
  </si>
  <si>
    <t>Nutzer:innen, Studienplätze</t>
  </si>
  <si>
    <t>Medienbestand (Tsd. ME)</t>
  </si>
  <si>
    <t>Naturwissenschaften, Mathematik</t>
  </si>
  <si>
    <t>Ingenieurwissenschaften</t>
  </si>
  <si>
    <t>jährl. Zugang (Tsd. ME)</t>
  </si>
  <si>
    <t>jährl. Abgang (Tsd. ME)</t>
  </si>
  <si>
    <t>Betrachtungszeitraum (Jahre)</t>
  </si>
  <si>
    <t>Bestandsziel</t>
  </si>
  <si>
    <t>alternativer Wert</t>
  </si>
  <si>
    <t>Zahl der Plätze</t>
  </si>
  <si>
    <t>Plätze für weitere Nutzer:innen</t>
  </si>
  <si>
    <t>Kennwerte der zentralen Einrichtungen an Hochschulen für Angewandte Wissenschaften</t>
  </si>
  <si>
    <t>[Bereich, Dezernat, Standort, Stadt]</t>
  </si>
  <si>
    <t>Pflege dual/kooperativ</t>
  </si>
  <si>
    <t>Pflege primärqualifiizerend</t>
  </si>
  <si>
    <t>Anteil der Seminare</t>
  </si>
  <si>
    <t>in erweiterten Seminarräumen</t>
  </si>
  <si>
    <t>letztes verfügbares Jahr:</t>
  </si>
  <si>
    <t>Bachelor-Studienplätze</t>
  </si>
  <si>
    <t>Master-Studienplätze</t>
  </si>
  <si>
    <t>nachrichtlich</t>
  </si>
  <si>
    <t>Sozial- und Erziehungswissenschaften</t>
  </si>
  <si>
    <t>Lehren und Lernen</t>
  </si>
  <si>
    <t>Standorte</t>
  </si>
  <si>
    <t>Bachelor + Master, allg. Lehr- und Lernflächen</t>
  </si>
  <si>
    <t>Zuschlag für E-Prüfungen</t>
  </si>
  <si>
    <t>Labor/Praktika</t>
  </si>
  <si>
    <t>regelmäßige E-Prüfungen:</t>
  </si>
  <si>
    <t>nein</t>
  </si>
  <si>
    <t>Studienplätze, gesetzter Wert</t>
  </si>
  <si>
    <t>Hallen, Technikum</t>
  </si>
  <si>
    <t>Allg. Lehren und Lernen</t>
  </si>
  <si>
    <t>Weitere STB</t>
  </si>
  <si>
    <t>Büroergänzende Serviceflächen</t>
  </si>
  <si>
    <t>[Studiengang 1]</t>
  </si>
  <si>
    <t>[Studiengang 2]</t>
  </si>
  <si>
    <t>…</t>
  </si>
  <si>
    <t>Allg. Lehren 
und Lernen</t>
  </si>
  <si>
    <t>Weitere Sondertat-bestände</t>
  </si>
  <si>
    <t>Bibliothek: Medien</t>
  </si>
  <si>
    <t>davon (in %)</t>
  </si>
  <si>
    <t>Standregale: Freihand</t>
  </si>
  <si>
    <t>Standregale: (Freihand)Magazin</t>
  </si>
  <si>
    <t>Rollregale</t>
  </si>
  <si>
    <t>Standregale: Freihandmagazin, Magazin</t>
  </si>
  <si>
    <t>Haupt-berufl. Personal [VZÄ]</t>
  </si>
  <si>
    <t>Tausend Medieneinheiten (ME)</t>
  </si>
  <si>
    <t>für sonstige Medien</t>
  </si>
  <si>
    <t>Flächen-bedarf Büro</t>
  </si>
  <si>
    <t>Flächen-bedarf ME</t>
  </si>
  <si>
    <t>Ergänzungsflächen für Medien- und Benutzerarbeitsplätze</t>
  </si>
  <si>
    <t>Mitarbeiter:innen der Werkstätten
[VZÄ]</t>
  </si>
  <si>
    <t>maximal</t>
  </si>
  <si>
    <t>Personal der Verwaltungs- und Management-Einheiten [VZÄ]</t>
  </si>
  <si>
    <t>Aufsichtsflächen, Leitwarte</t>
  </si>
  <si>
    <t>300 m²</t>
  </si>
  <si>
    <t>250 m²</t>
  </si>
  <si>
    <t>400 m²</t>
  </si>
  <si>
    <t>Elektrotechnik</t>
  </si>
  <si>
    <t>Mechanik</t>
  </si>
  <si>
    <t>Schreinerei/ Spritzraum</t>
  </si>
  <si>
    <t>Hausmeister-
werkstatt</t>
  </si>
  <si>
    <t>Standreg.: Freihand</t>
  </si>
  <si>
    <t>Standreg.: (Freihand) Magazin</t>
  </si>
  <si>
    <t>allg. Lehrfläche je Studienplatz (*)</t>
  </si>
  <si>
    <t>(*) Gewichtungsfaktor Master-Studienplätze</t>
  </si>
  <si>
    <t>Platzfaktoren 
(Büro-Arbeitsplätze je Beschäftigten)</t>
  </si>
  <si>
    <t>Auslastungs-faktoren Büro
(Minderung der Kennwerte)</t>
  </si>
  <si>
    <t>Professor:innen</t>
  </si>
  <si>
    <t>Wiss. Personal (ohne Prof.)</t>
  </si>
  <si>
    <t>Verwaltung</t>
  </si>
  <si>
    <t>Vorgabe</t>
  </si>
  <si>
    <t>abweichender Platzfaktor</t>
  </si>
  <si>
    <t>grundfin. Personal</t>
  </si>
  <si>
    <t>drittmittelfin. Personal</t>
  </si>
  <si>
    <t>einheitlicher Platzfaktor der Fachbereiche:</t>
  </si>
  <si>
    <t>Geistes- und Gesellschaftswissenschaften</t>
  </si>
  <si>
    <t>Auslastungsfaktoren für den Bürobereich</t>
  </si>
  <si>
    <t>Auslastung***:</t>
  </si>
  <si>
    <t>***) leeres Feld = 0%</t>
  </si>
  <si>
    <t>mit Auslastungsfaktor 'Büro'</t>
  </si>
  <si>
    <t>ja</t>
  </si>
  <si>
    <t>VZÄ gesamt:</t>
  </si>
  <si>
    <t>Nr.</t>
  </si>
  <si>
    <t>Name</t>
  </si>
  <si>
    <t>VZÄ</t>
  </si>
  <si>
    <t>Beschreibung (Denomination bzw. Fachgebiet)</t>
  </si>
  <si>
    <t>Meier</t>
  </si>
  <si>
    <t>Professor:innen (nur mit fachpraktischen Anteilen in der Lehre)</t>
  </si>
  <si>
    <t>VZÄ fachpraktisch:</t>
  </si>
  <si>
    <t>Theorie</t>
  </si>
  <si>
    <t>Fachpraxis</t>
  </si>
  <si>
    <t>Studienplätze der Gesundheits- und Pflegewissenschaften</t>
  </si>
  <si>
    <t>Studiengang</t>
  </si>
  <si>
    <t>Abschl.</t>
  </si>
  <si>
    <t>gesamt (ungewichtet)</t>
  </si>
  <si>
    <t>Gesundheitswiss.</t>
  </si>
  <si>
    <t>Bachelor-Studienplätze:</t>
  </si>
  <si>
    <t>VZÄ fachpraktisch/experimentell:</t>
  </si>
  <si>
    <t>VZÄ DV-orientiert:</t>
  </si>
  <si>
    <t>Professor:innen (nur konstruktiv-experimentell)</t>
  </si>
  <si>
    <t>konstruktiv-exp.</t>
  </si>
  <si>
    <t>VZÄ konstruktiv-experimentell:</t>
  </si>
  <si>
    <t>Professor:innen (nur DV-orientiert)</t>
  </si>
  <si>
    <t>Gesundheits- und Pflegewissenschaften</t>
  </si>
  <si>
    <t>zusätzlich Typ 1</t>
  </si>
  <si>
    <t>zusätzlich Typ 2</t>
  </si>
  <si>
    <t>Studienplätze der Lehr- und Forschungsbereiche</t>
  </si>
  <si>
    <t>ausgel.</t>
  </si>
  <si>
    <t>Tabellenblatt</t>
  </si>
  <si>
    <t>Organisationseinheit</t>
  </si>
  <si>
    <t>zus.</t>
  </si>
  <si>
    <t>Ausl.</t>
  </si>
  <si>
    <t>StPl</t>
  </si>
  <si>
    <t>Fächergruppe/Lehr- und Forschungsbereich</t>
  </si>
  <si>
    <t>Naturwiss</t>
  </si>
  <si>
    <t>Mathe</t>
  </si>
  <si>
    <t>Arch</t>
  </si>
  <si>
    <t>Bauing</t>
  </si>
  <si>
    <t>E-I-Technik</t>
  </si>
  <si>
    <t>Maschbau</t>
  </si>
  <si>
    <t>Wi-ing</t>
  </si>
  <si>
    <t>Ernährung</t>
  </si>
  <si>
    <t>Gesund</t>
  </si>
  <si>
    <t>Sowi</t>
  </si>
  <si>
    <t>Wiwi</t>
  </si>
  <si>
    <t>[Bezeichnung/Referenznummer]</t>
  </si>
  <si>
    <t>Ingenieurwiss.</t>
  </si>
  <si>
    <t>Professor:innen (nur Ingenieurwissenschaften mit Fachpraxis in der Lehre)</t>
  </si>
  <si>
    <t>Basiswert je Professur</t>
  </si>
  <si>
    <t>siehe Labor</t>
  </si>
  <si>
    <t>Labor + fachspez. Lehre</t>
  </si>
  <si>
    <t>Professuren mit ingenieurwissenschaftlichem Schwerpunkt (technische Labore)</t>
  </si>
  <si>
    <t>Auslastung der Studienplätze</t>
  </si>
  <si>
    <t>Professuren, experimentell</t>
  </si>
  <si>
    <t>Bestand NUF 1-6, HS gesamt</t>
  </si>
  <si>
    <t>Verküpfte Bemessungsblätter</t>
  </si>
  <si>
    <t>Gruppe 2</t>
  </si>
  <si>
    <t>Gruppe 3</t>
  </si>
  <si>
    <t>Gruppe 4</t>
  </si>
  <si>
    <t>Um ganze Zeilen zu verschieben, verwenden Sie Strg + x (Entfernen) und Strg + v (Einfügen). Falls Sie Zwischensummen einfügen: Bitte passen Sie die Gesamtsumme in Zeile 7 an.</t>
  </si>
  <si>
    <t>Die Bemessungseinheiten in diesem Tabellenblatt können Sie frei gruppieren (z.B. nach Standorten). Die Namen der Gruppen können Sie frei festlegen.</t>
  </si>
  <si>
    <t>Hinweis: Die grau eingefärbten Zellen enthalten Formeln. Wenn Sie mehr als 300 Studiengänge eintragen, müssen Sie die Formeln in die weiteren Zeilen kopieren.</t>
  </si>
  <si>
    <t>Eingangsgrößen (Kapazitätsdaten)</t>
  </si>
  <si>
    <t>Anteil am Vollstudium</t>
  </si>
  <si>
    <t>Organisations-/Bemessungseinheit</t>
  </si>
  <si>
    <t>Zugeordnete Studiengänge</t>
  </si>
  <si>
    <r>
      <t>Curricularwert 
des Studiengangs</t>
    </r>
    <r>
      <rPr>
        <sz val="9"/>
        <color theme="1"/>
        <rFont val="Arial"/>
        <family val="2"/>
      </rPr>
      <t xml:space="preserve"> </t>
    </r>
  </si>
  <si>
    <t>Variante 1: 
curricularer Anteil</t>
  </si>
  <si>
    <t>Variante 2: 
Anteil an Credit Points</t>
  </si>
  <si>
    <t>Variante 3: eigene Gewichtung</t>
  </si>
  <si>
    <t>Berechnung mit</t>
  </si>
  <si>
    <t>Fachliche Untergliederung, Lehreinheit</t>
  </si>
  <si>
    <t>Bemessungsblatt (LuF)</t>
  </si>
  <si>
    <t>Studiengang/-fach</t>
  </si>
  <si>
    <t>Abschluss</t>
  </si>
  <si>
    <t>haupt-berufl. Personal</t>
  </si>
  <si>
    <t>Lehr-aufträge</t>
  </si>
  <si>
    <t>gesamt (unber.)</t>
  </si>
  <si>
    <t>Anteils-quote</t>
  </si>
  <si>
    <t>CA, eigen</t>
  </si>
  <si>
    <t>CA, fremd</t>
  </si>
  <si>
    <t>CW gesamt</t>
  </si>
  <si>
    <t>CW, voll 
(Σ CA)</t>
  </si>
  <si>
    <t>Anteil von CW, voll</t>
  </si>
  <si>
    <t>CP, Studien-gang</t>
  </si>
  <si>
    <t>CP, voll</t>
  </si>
  <si>
    <t>Anteil von CP, voll</t>
  </si>
  <si>
    <t>Variante 1</t>
  </si>
  <si>
    <t>Hinweis: Diese Tabelle übernimmt die Werte aus der "StPl-Berechnung" (Spalten J und U).</t>
  </si>
  <si>
    <t>Kontroll-summe Anteilsquote</t>
  </si>
  <si>
    <t>Bachelor (B)</t>
  </si>
  <si>
    <t>Staats-examen (E)</t>
  </si>
  <si>
    <t>Master (M)</t>
  </si>
  <si>
    <r>
      <t>Summe</t>
    </r>
    <r>
      <rPr>
        <sz val="9"/>
        <color theme="1"/>
        <rFont val="Arial"/>
        <family val="2"/>
      </rPr>
      <t>, ungew.</t>
    </r>
  </si>
  <si>
    <t>gesamt</t>
  </si>
  <si>
    <t>KWV-Key</t>
  </si>
  <si>
    <t>KWV-Nutzungsbereich</t>
  </si>
  <si>
    <t>Wohnen, Speiseräume</t>
  </si>
  <si>
    <t>Allgemeine Lehre und Lernen</t>
  </si>
  <si>
    <t>Medien (Bibliothek, Magazin)</t>
  </si>
  <si>
    <t>55</t>
  </si>
  <si>
    <t>Freies studentisches Arbeiten/theoretisches Selbststudium</t>
  </si>
  <si>
    <t>Fachspezifische Lehre</t>
  </si>
  <si>
    <t>Sondertatbestände, allgemein</t>
  </si>
  <si>
    <t>Sondertatbestände im Nutzungsbereich Wohnen, Speiseräume</t>
  </si>
  <si>
    <t>Sondertatbestände im Nutzungsbereich Büro</t>
  </si>
  <si>
    <t>Sondertatbestände im Nutzungsbereich Labor</t>
  </si>
  <si>
    <t>Sondertatbestände im Nutzungsbereich Lager</t>
  </si>
  <si>
    <t>Sondertatbestände im Nutzungsbereich Allgemeines Lehren und Lernen</t>
  </si>
  <si>
    <t>Sondertatbestände im Nutzungsbereich Fachspezifische Lehre</t>
  </si>
  <si>
    <t>Sondertatbestände im Nutzungsbereich Halle, Technikum</t>
  </si>
  <si>
    <t>Sondertatbestände im Nutzungsbereich Technischer Service</t>
  </si>
  <si>
    <t>Weitere Sondertatbestände (soweit nicht anders zugeordnet)</t>
  </si>
  <si>
    <t>Der KWV-Key dient der Zuordnung der Hochschulflächen zu den KWV-Nutzungsbereichen (z.B. für Bilanzierung).</t>
  </si>
  <si>
    <t>Die Zuordnung erfolgt angelehnt an den RNS und als zweistelliger Schlüssel ("Key"). Hallen/Technikum (70) und Technischer Service (80) erhalten zwecks Abgrenzung von Laboren (30) von der RNS-Systematik abweichende Keys.</t>
  </si>
  <si>
    <t>Weitere separate Keys sind definiert für freies studentisches Arbeiten/theoretisches Selbststudium (55); Medien, Bibliotheksergänzung, Magazin (54)</t>
  </si>
  <si>
    <t>Sondertatbestände, die einem Nutzungsbereich zuordenbar sind, werden mithilfe der 2. Ziffer definiert.</t>
  </si>
  <si>
    <t>Weitere Sondertatbestände, die keinem Nutzungsbereich zugeordnet werden können (z. B. Versuchsgut, Verkaufsräume), erhalten den Key 99.</t>
  </si>
  <si>
    <t>RNS</t>
  </si>
  <si>
    <t>Nutzungsbezeichnung</t>
  </si>
  <si>
    <t xml:space="preserve">KWV-Key </t>
  </si>
  <si>
    <t>Wohnen und Aufenthalt</t>
  </si>
  <si>
    <t>Wohnräume</t>
  </si>
  <si>
    <t>wird nicht bemessen - ggf. STB</t>
  </si>
  <si>
    <t>Wohnräume in Mehrzimmerwohnungen</t>
  </si>
  <si>
    <t>Wohnküche</t>
  </si>
  <si>
    <t>Wohndiele</t>
  </si>
  <si>
    <t>Wohnraum in Einzimmerwohnungen</t>
  </si>
  <si>
    <t>Einzelwohnräume</t>
  </si>
  <si>
    <t>Gruppenwohnraum</t>
  </si>
  <si>
    <t>Gemeinschaftsräume</t>
  </si>
  <si>
    <t>Aufenthaltsräume allgemein</t>
  </si>
  <si>
    <t>Bereitschaftsräume</t>
  </si>
  <si>
    <t>Kinderspielraum</t>
  </si>
  <si>
    <t>Pausenräume</t>
  </si>
  <si>
    <t>Pausenraum allgemein</t>
  </si>
  <si>
    <t>Pausenhalle</t>
  </si>
  <si>
    <t>Pausenfläche</t>
  </si>
  <si>
    <t>Wandelhalle</t>
  </si>
  <si>
    <t>Ruheräume allgemein</t>
  </si>
  <si>
    <t>Warteräume</t>
  </si>
  <si>
    <t>Warteraum allgemein</t>
  </si>
  <si>
    <t>Wartehalle</t>
  </si>
  <si>
    <t>Wartefläche</t>
  </si>
  <si>
    <t>Speiseräume</t>
  </si>
  <si>
    <t>Speiseraum allgemein</t>
  </si>
  <si>
    <t>Speisesaal</t>
  </si>
  <si>
    <t>Cafeteria</t>
  </si>
  <si>
    <t>Büroarbeit</t>
  </si>
  <si>
    <t>Büroräume</t>
  </si>
  <si>
    <t>Büroräume allgemein</t>
  </si>
  <si>
    <t>Schreibräume</t>
  </si>
  <si>
    <t>Büroräume mit manuellem/experimentellem Arbeitsplatz</t>
  </si>
  <si>
    <t>Büroräume mit Archivfunktion</t>
  </si>
  <si>
    <t>Büroräume mit Materialausgabe</t>
  </si>
  <si>
    <t>Einzelarbeitsplätze</t>
  </si>
  <si>
    <t>Großraumbüros</t>
  </si>
  <si>
    <t>Großraumbüro allgemein</t>
  </si>
  <si>
    <t>Großraumbüro mit Schalter</t>
  </si>
  <si>
    <t>Besprechungsräume</t>
  </si>
  <si>
    <t>Besprechungssräume allgemein</t>
  </si>
  <si>
    <t>Sprechzimmer</t>
  </si>
  <si>
    <t>Sitzungssäle</t>
  </si>
  <si>
    <t>Konstruktionsräume</t>
  </si>
  <si>
    <t>Zeichenraum</t>
  </si>
  <si>
    <t>Konstruktionsbüro (mit DV)</t>
  </si>
  <si>
    <t>Schalterräume</t>
  </si>
  <si>
    <t>Schalterräume allgemein</t>
  </si>
  <si>
    <t>Kassenraum</t>
  </si>
  <si>
    <t>Kartenschalter</t>
  </si>
  <si>
    <t>Bedienungsräume</t>
  </si>
  <si>
    <t>Fernsprechraum/-kabine</t>
  </si>
  <si>
    <t>Fernschreibräume</t>
  </si>
  <si>
    <t>Funkzentrale</t>
  </si>
  <si>
    <t>Bedienungsraum für Förderanlagen</t>
  </si>
  <si>
    <t>NUF 7</t>
  </si>
  <si>
    <t>Regieraum</t>
  </si>
  <si>
    <t>Projektionsraum</t>
  </si>
  <si>
    <t>Schaltraum für betriebstechnische Anlagen</t>
  </si>
  <si>
    <t>NUF 7 (seit DIN 277-1:2016-01)</t>
  </si>
  <si>
    <t>Schalträume für betriebliche Einheiten</t>
  </si>
  <si>
    <t>Aufsichtsräume</t>
  </si>
  <si>
    <t>Aufsichtsräume allgemein</t>
  </si>
  <si>
    <t>Pförtnerräume</t>
  </si>
  <si>
    <t>Wachraum</t>
  </si>
  <si>
    <t>Bürotechnikräume</t>
  </si>
  <si>
    <t>Vervielfältigungsräume</t>
  </si>
  <si>
    <t>Filmbearbeitungsräume</t>
  </si>
  <si>
    <t>ADV-Großrechneranlagenraum</t>
  </si>
  <si>
    <t>ADV-Kleinrechneranlagenraum</t>
  </si>
  <si>
    <t>ADV-Peripheriegeräteraum</t>
  </si>
  <si>
    <t>Produktion, Hand- und Maschinenarbeit, Experimente</t>
  </si>
  <si>
    <t>Werkhallen</t>
  </si>
  <si>
    <t>Produktionshalle für Grundstoffe</t>
  </si>
  <si>
    <t>Produktionshalle für Investitions- und Versorgungsgüter</t>
  </si>
  <si>
    <t>Produktionshalle für Nahrungs- und Genußmittel</t>
  </si>
  <si>
    <t>Instandsetzungs-/Wartunghalle</t>
  </si>
  <si>
    <t>Technologische Versuchshalle</t>
  </si>
  <si>
    <t>Physikalische Versuchshalle</t>
  </si>
  <si>
    <t>Chemie-Versuchshallen</t>
  </si>
  <si>
    <t>Sonderversuchshalle</t>
  </si>
  <si>
    <t>Werkstätten</t>
  </si>
  <si>
    <t>Metallwerkstätten (grob)</t>
  </si>
  <si>
    <t>Metallwerkstätten (fein)</t>
  </si>
  <si>
    <t>Elektrotechnikwerkstätten</t>
  </si>
  <si>
    <t>Oberflächenbehandlungswerkstätten</t>
  </si>
  <si>
    <t>Holz-/Kunststoffwerkstätten</t>
  </si>
  <si>
    <t>Bau-/Steine-/Erden-Werkstätten</t>
  </si>
  <si>
    <t>Drucktechnikwerkstatt</t>
  </si>
  <si>
    <t>Textil-/Lederwerkstatt</t>
  </si>
  <si>
    <t>Werkstätten für Gesundheits-und Körperpflege</t>
  </si>
  <si>
    <t>Technologische Labors</t>
  </si>
  <si>
    <t>Technologisches Labor einfach (ohne Absaugung)</t>
  </si>
  <si>
    <t>Technologiesches labor (mit Absaugung und/oder Explosionsschutz</t>
  </si>
  <si>
    <t>Labor für stationäre Maschinen</t>
  </si>
  <si>
    <t>Lichttechnisches Labor</t>
  </si>
  <si>
    <t>Schalltechnisches Labor</t>
  </si>
  <si>
    <t>Technologisches Labor mit erhöhter Deckentragfähigkeit</t>
  </si>
  <si>
    <t>Technologisches Labor mit Erschütterungsschutz</t>
  </si>
  <si>
    <t>Technologisches Labor mit Berstwänden</t>
  </si>
  <si>
    <t>Physikalische, physikalisch-technische, elektrotechnische Labors</t>
  </si>
  <si>
    <t>Elektroniklabors (Verwendung elektronischer Bauelemente)</t>
  </si>
  <si>
    <t>Physiklabors einfach</t>
  </si>
  <si>
    <t>Physiklabor mit besonderen RLT-Anforderungen</t>
  </si>
  <si>
    <t>Physikalische Meßräume und Räume für instrumentelle Analytik</t>
  </si>
  <si>
    <t>Physikalische Meßräume und Räume für instrumentelle Analytik m. bes. RLT-Anford.</t>
  </si>
  <si>
    <t>Kernphysiklabor mit Dekontamination von Abwasser und Abluft</t>
  </si>
  <si>
    <t>Physiklabor und Meßraum mit Erschütterungsschutz</t>
  </si>
  <si>
    <t>Physiklabor und Meßraum mit elektromagnetischer Abschirmung</t>
  </si>
  <si>
    <t>Physiklabors und Meßräume mit Strahlenschutz</t>
  </si>
  <si>
    <t>Chemische, bakteriologische, morphologische Labors</t>
  </si>
  <si>
    <t>Morphologisches Labors (ohne Hygieneanforderungen)</t>
  </si>
  <si>
    <t>Labors für analytisch- und präparativ-chemische Arbeitsweisen</t>
  </si>
  <si>
    <t>Chemisch-technische Labors</t>
  </si>
  <si>
    <t>Labors mit zusätzlichen Hygieneanforderungen</t>
  </si>
  <si>
    <t>Labor mit zusätzlichen hygienischen und besonderen RLT-Anforderungen</t>
  </si>
  <si>
    <t>Isotopenlabor mit Dekontamination von Abwasser und abluft</t>
  </si>
  <si>
    <t>Isotopenlabor mit Dekontamination von Abwasser u. Abluft u. besonderen RLT-Anford.</t>
  </si>
  <si>
    <t>Isotopenlabor m. Dekontamin. v. Abwasser, Abluft; hygien. U. bes. RLT-Anf. (m. Schleuse)</t>
  </si>
  <si>
    <t>Labor mit besonderen Hygieneanforderungen, Zugang über Schleuse …</t>
  </si>
  <si>
    <t xml:space="preserve">Räume für Tierhaltung </t>
  </si>
  <si>
    <t>Einzelräume = Labor, im größeren Verbund ggf. STB</t>
  </si>
  <si>
    <t>Raum für Stallhaltung</t>
  </si>
  <si>
    <t>Raum für Käfighaltung</t>
  </si>
  <si>
    <t>Räume für Tierhaltung experimentell</t>
  </si>
  <si>
    <t>Räume für Käfighaltung experimentell</t>
  </si>
  <si>
    <t>Raum für Beckenhaltung</t>
  </si>
  <si>
    <t>Tierpflegeräume</t>
  </si>
  <si>
    <t>Futteraufbereitungsraum</t>
  </si>
  <si>
    <t>Milch-/Melkraum</t>
  </si>
  <si>
    <t>Räume für Pflanzenzucht</t>
  </si>
  <si>
    <t>Gewächshaus allgemein</t>
  </si>
  <si>
    <t>Gewächshaus mit besonderen klimatischen Bedingungen</t>
  </si>
  <si>
    <t>Pflanzenzuchtraum experimentell</t>
  </si>
  <si>
    <t>Einzelräume = Labor/fachspez. Lehre, in Gewächshaus ggf. STB</t>
  </si>
  <si>
    <t>Pilzzuchtraum</t>
  </si>
  <si>
    <t>Pflanzenzuchtvorbereitungsraum</t>
  </si>
  <si>
    <t>Einzelräume = Labor, im Gewächshaus ggf. STB</t>
  </si>
  <si>
    <t>Küchen</t>
  </si>
  <si>
    <t>Küche in Wohnungen</t>
  </si>
  <si>
    <t>Teilküche</t>
  </si>
  <si>
    <t>Großküche</t>
  </si>
  <si>
    <t>Spezialküche</t>
  </si>
  <si>
    <t>Küchenvorbereitungsraum</t>
  </si>
  <si>
    <t>Backraum</t>
  </si>
  <si>
    <t>Speiseausgabe</t>
  </si>
  <si>
    <t>Spülküche</t>
  </si>
  <si>
    <t>Sonderarbeitsräume</t>
  </si>
  <si>
    <t>Hauswirtschaftsräume</t>
  </si>
  <si>
    <t>Wäschereiräume</t>
  </si>
  <si>
    <t>Wäschepflegeräume</t>
  </si>
  <si>
    <t>Spülräume</t>
  </si>
  <si>
    <t>Gerätereinigungsräume</t>
  </si>
  <si>
    <t>Desinfektionsräume</t>
  </si>
  <si>
    <t>Sterilisationsraum</t>
  </si>
  <si>
    <t>Pflegearbeitsräume</t>
  </si>
  <si>
    <t>Vorbereitungsräume</t>
  </si>
  <si>
    <t>Lagern, Verteilen, Verkaufen</t>
  </si>
  <si>
    <t>Lagerräume</t>
  </si>
  <si>
    <t>Lagerraum allgemein</t>
  </si>
  <si>
    <t>Lagerräume mit RLT-Anforderungen</t>
  </si>
  <si>
    <t>Lagerraum mit hygienischen Anforderungen (mit Abluft)</t>
  </si>
  <si>
    <t>Lagerraum mit betriebsspezifischen Enbauten</t>
  </si>
  <si>
    <t>Lagerraum mit Explosions-/Brandschutz</t>
  </si>
  <si>
    <t>Lagerräume mit Strahlenschutz</t>
  </si>
  <si>
    <t>Tresorraum</t>
  </si>
  <si>
    <t>Futtermittellager</t>
  </si>
  <si>
    <t>Archive, Sammlungsräume</t>
  </si>
  <si>
    <t xml:space="preserve">Archive </t>
  </si>
  <si>
    <t>Registratur (ohne Arbeitsplatz)</t>
  </si>
  <si>
    <t>Sammlungsraum</t>
  </si>
  <si>
    <t>Magazin</t>
  </si>
  <si>
    <t>Magazin mit Klimakonstanz</t>
  </si>
  <si>
    <t>Kühlräume</t>
  </si>
  <si>
    <t>Lebensmittelkühlraum</t>
  </si>
  <si>
    <t>Lebensmitteltiefkühlraum</t>
  </si>
  <si>
    <t>Kühlraum für medizinische Zwecke</t>
  </si>
  <si>
    <t>Kühlräume für wissenschaftliche/technische Zwecke</t>
  </si>
  <si>
    <t>Annahme- und Ausgaberäume</t>
  </si>
  <si>
    <t>Annahme-/Ausgaberäume allgemein</t>
  </si>
  <si>
    <t>Sortierraum</t>
  </si>
  <si>
    <t>Packraum</t>
  </si>
  <si>
    <t>Versandraum</t>
  </si>
  <si>
    <t>Versorgungsstützpunkte</t>
  </si>
  <si>
    <t>Verkaufsräume</t>
  </si>
  <si>
    <t>Verkaufsstand</t>
  </si>
  <si>
    <t>Ladenraum</t>
  </si>
  <si>
    <t>Supermarktverkaufsraum</t>
  </si>
  <si>
    <t>wird nicht bemessen</t>
  </si>
  <si>
    <t>Kaufhausverkaufsraum</t>
  </si>
  <si>
    <t>Bildung, Unterricht, Kultur</t>
  </si>
  <si>
    <t>Unterrichtsräume mit festem Gestühl</t>
  </si>
  <si>
    <t>Allg. Lehre und Lernen</t>
  </si>
  <si>
    <t>Hör-/Lehrsäle ansteigend mit Experimentierbühne</t>
  </si>
  <si>
    <t>Hör-/Lehrsäle eben mit Experimentierbühne</t>
  </si>
  <si>
    <t>Hör-/Lehrsäle ansteigend ohne Experimentierbühne</t>
  </si>
  <si>
    <t>Hör-/Lehrsäle eben ohne Experimentierbühne</t>
  </si>
  <si>
    <t>Allgemeine Unterrichts-und Übungsräume ohne festes Gestühl</t>
  </si>
  <si>
    <t>Unterrichtsraum</t>
  </si>
  <si>
    <t>Unterrichtsgroßräume</t>
  </si>
  <si>
    <t xml:space="preserve">Übungsräume </t>
  </si>
  <si>
    <t>Mehrzweckunterrichtsraum</t>
  </si>
  <si>
    <t>Zeichenübungsraum</t>
  </si>
  <si>
    <t>Verhaltensbeobachtungsraum</t>
  </si>
  <si>
    <t>Übungsraum für darstellende Kunst</t>
  </si>
  <si>
    <t>Besondere Unterrichts- und Übungsräume ohne festes Gestühl</t>
  </si>
  <si>
    <t>Musisch-technische Unterrichtsräume</t>
  </si>
  <si>
    <t>Hauswirtschaftlicher Unterrichtsraum</t>
  </si>
  <si>
    <t>Medienunterstützter Unterrichtsraum</t>
  </si>
  <si>
    <t>Musik-/Sprechunterrichtsraum</t>
  </si>
  <si>
    <t>Physikalisch-technischer Übungsraum</t>
  </si>
  <si>
    <t>Naßpräparative Übungsräume</t>
  </si>
  <si>
    <t>Bibliotheksräume</t>
  </si>
  <si>
    <t>Bibliotheksraum</t>
  </si>
  <si>
    <t>Leseraum</t>
  </si>
  <si>
    <t>Freihandstellfläche</t>
  </si>
  <si>
    <t>Katalograum/-fläche</t>
  </si>
  <si>
    <t>Mediothekraum</t>
  </si>
  <si>
    <t>Sporträume</t>
  </si>
  <si>
    <t>Halle für Turnen und Spiele</t>
  </si>
  <si>
    <t>Schwimmhalle</t>
  </si>
  <si>
    <t>Eissporthalle</t>
  </si>
  <si>
    <t>Radsporthalle</t>
  </si>
  <si>
    <t>Reitsporthalle</t>
  </si>
  <si>
    <t>Sportübungsraum</t>
  </si>
  <si>
    <t>Kegelbahn</t>
  </si>
  <si>
    <t>Schießsporträume</t>
  </si>
  <si>
    <t>Sondersporthalle</t>
  </si>
  <si>
    <t>Versammlungsräume</t>
  </si>
  <si>
    <t>Versammlungsräume allgemein</t>
  </si>
  <si>
    <t>wird nicht bemessen - ggf. Allg. Lehre (Hörsaal), ggf. STB (Aula)</t>
  </si>
  <si>
    <t xml:space="preserve">Zuschauerräume </t>
  </si>
  <si>
    <t>Mehrzweckhalle</t>
  </si>
  <si>
    <t>Bühnen-, Studioräume</t>
  </si>
  <si>
    <t>Bühnenräume</t>
  </si>
  <si>
    <t>Probebühne</t>
  </si>
  <si>
    <t>Orchesterraum</t>
  </si>
  <si>
    <t>Orchesterprobenraum</t>
  </si>
  <si>
    <t>Tonstudioraum</t>
  </si>
  <si>
    <t>Bildstudioraum</t>
  </si>
  <si>
    <t>Künstleratelier</t>
  </si>
  <si>
    <t>Schauräume</t>
  </si>
  <si>
    <t>Schauraum allgemein</t>
  </si>
  <si>
    <t>Museumsräume</t>
  </si>
  <si>
    <t>Lehr- und Schausammlungsraum</t>
  </si>
  <si>
    <t>Besucherfläche</t>
  </si>
  <si>
    <t>Sakralräume</t>
  </si>
  <si>
    <t>Gottesdienstraum</t>
  </si>
  <si>
    <t>Andachtsraum</t>
  </si>
  <si>
    <t>Heilen und Pflegen</t>
  </si>
  <si>
    <t>Räume mit allgemeiner medizinischer Ausstattung</t>
  </si>
  <si>
    <t>Untersuchungs- u. Behandlungs- (U+B-)Räume mit einfacher medizinischer Ausstattung</t>
  </si>
  <si>
    <t>Erste-Hilfe-Räume</t>
  </si>
  <si>
    <t>Demonstrationsraum mit einfacher Ausstattung</t>
  </si>
  <si>
    <t>Räume mit besonderer medizinischer Ausstattung</t>
  </si>
  <si>
    <t>Atemphysiologische U u B-Räume</t>
  </si>
  <si>
    <t>Herz- und Kreislaufdiagnostische U + B-Räume</t>
  </si>
  <si>
    <t>Sinnesphysiologischer U + B-Raum</t>
  </si>
  <si>
    <t>Augen-U + B-Raum</t>
  </si>
  <si>
    <t>Zahnmedizinischer U + B-Raum</t>
  </si>
  <si>
    <t>Demonstrationsräume mit besonderer Ausstattung</t>
  </si>
  <si>
    <t>Räume für operative Eingriffe, Endoskopien und Entbindungen</t>
  </si>
  <si>
    <t>Geburtshilferäume</t>
  </si>
  <si>
    <t>Räume für Physiotherapie und Rehabilitation</t>
  </si>
  <si>
    <t>Medizinische Bäder/Duschen</t>
  </si>
  <si>
    <t>Bewegungsbäder</t>
  </si>
  <si>
    <t>Schwitzbäder/Packungen</t>
  </si>
  <si>
    <t>Inhalationsräume</t>
  </si>
  <si>
    <t>Bewegungstherapieräume</t>
  </si>
  <si>
    <t>Massageraum</t>
  </si>
  <si>
    <t>Elektrotherapieräume</t>
  </si>
  <si>
    <t>Rehabilitationsräume</t>
  </si>
  <si>
    <t>Anmerkung:</t>
  </si>
  <si>
    <t>Die Übersicht zeigt die Zuordnung der an Hochschulen gängigen Flächenarten NUF 1-6 zu den Nutzungsbereichen des Kennwert-</t>
  </si>
  <si>
    <t xml:space="preserve">verfahrens (KWV 2026). Die Angabe erfolgt nach den 3-stelligen Raumnutzungsschlüsseln (vgl. Statistisches Bundesamt, 2005) und </t>
  </si>
  <si>
    <t>entsprechend DIN 277-1:2016-01. Flächenarten (ehemals NUF 2), die entspr. DIN 277-1:2016-01 nicht mehr Teil der NUF 1-6</t>
  </si>
  <si>
    <t>sind (stattdessen NUF 7), werden nachrichtlich dargestellt.</t>
  </si>
  <si>
    <t>molekularbiologische, nass-präparative und geräte-intensive/analytische Arbeitsweisen</t>
  </si>
  <si>
    <t>DV-orientiert (vergleichbar mit Informatik)</t>
  </si>
  <si>
    <t>Kurzbeschreibung der experimentellen und fachpraktischen Arbeitsweisen</t>
  </si>
  <si>
    <t>software-technisch orientiert (allgemeine Informatik sowie die diversen Anwendungsgebiete)</t>
  </si>
  <si>
    <t>DV-orientierte Gestaltungslehre (Videoschnitt, Grafikprogramme etc.)</t>
  </si>
  <si>
    <t>naturwissenschaftlich oder technisch- bzw. technologisch-orientiert (Lebensmittelchemie, Mikrobiologie, Analytik, Sensorik, Produktentwicklung, Lebensmitteltechnologie, Haushaltstechnik etc.)</t>
  </si>
  <si>
    <t>Studienplätze mit pflegerischem oder therapeutischem Profil in kooperativen/dualen Studiengängen</t>
  </si>
  <si>
    <t>Studienplätze mit pflegerischem oder therapeutischem Profil in primärqualifizierenden Studiengängen</t>
  </si>
  <si>
    <t>DV-orientiert (z.B. Bioinformatik)</t>
  </si>
  <si>
    <t>konstruktiv-experimentelle Arbeitsweise (z.B. Experimente mit Baumaterialien oder Konstruktionsweisen)</t>
  </si>
  <si>
    <t>DV-orientiert (z.B. CAD, BIM, Simulation)</t>
  </si>
  <si>
    <t>analytisch-experimentell (Analyse- und Prüfverfahren) oder konstruktiv-experimentell (produktions- oder verfahrenstechnische Verfahren, z.B. Antriebs- und Fahrzeugtechnik etc.)</t>
  </si>
  <si>
    <t>ästhetische Bildung (künstlerische Werkstätten, Studios, Theater-/Probenraum, Bewegungsräume oder Vergleichbares)</t>
  </si>
  <si>
    <t>theoretisch oder DV-orientiert (CAD, Simulation, Planung/Steuerung o.a.)</t>
  </si>
  <si>
    <t>DV-orientiert mit zusätzlichen Gerätelaboren (Grundlagenfächer, Mess- und Regelungstechnik oder Vergleichbares)</t>
  </si>
  <si>
    <t>physikalisch-technisch oder physikalisch-chemisch-technisch orientierte Fachgebiete (Elektrische Energietechnik, Optoelektronik, Mikroelektronik, Werkstofftechnik etc.); Fachgebiete, die sich mit Produktionsverfahren befassen</t>
  </si>
  <si>
    <t>software-technisch orientierte Fachgebiete mit zusätzlicher Geräteausstattung (z.B. technische Informatik, Medieninformatik).</t>
  </si>
  <si>
    <t>informations- und software-technisch orientierte Arbeitsweise (z.B. Regelungstechnik, Schaltungstechnik, Embedded Systems)</t>
  </si>
  <si>
    <t>Gestaltungslehre in speziellen Werkräumen (Druck- oder Holzwerkstatt, Fotostudio etc.)</t>
  </si>
  <si>
    <t>Allgemeine Angaben</t>
  </si>
  <si>
    <t>Arbeitsschritt</t>
  </si>
  <si>
    <t>Erläuterung</t>
  </si>
  <si>
    <t>Dokumentation</t>
  </si>
  <si>
    <t>1.1</t>
  </si>
  <si>
    <t>Name der Hochschule</t>
  </si>
  <si>
    <t>1.2</t>
  </si>
  <si>
    <t>Tag der Bearbeitung: Der Eintrag wird automatisch in alle Bemessungsblätter übertragen und kann dort überschrieben werden.</t>
  </si>
  <si>
    <t>1.3</t>
  </si>
  <si>
    <t>Diese Eingabe ist nur nachrichtlich und hat keine weitere Auswirkung.</t>
  </si>
  <si>
    <t>1.4</t>
  </si>
  <si>
    <t>Auswahl eines Bemessungsblatts</t>
  </si>
  <si>
    <t>1.5</t>
  </si>
  <si>
    <t>Fachliche Einrichtungen</t>
  </si>
  <si>
    <t>Personal</t>
  </si>
  <si>
    <t>2.1</t>
  </si>
  <si>
    <t>Hier ist das hauptberufliche wissenschaftliche Personal der Hochschule gemeint, also die Professor:innen, wissenschaftlichen Mitarbeiter:innen und Lehrkräfte für besondere Aufgaben (LfbA). 
Sie können wahlweise die Summe des Beschäftigungsumfangs zum Stichtag angeben (üblicherweise der 01.12. eines Jahres) oder den mittleren monatlichen Wert in der Jahresbetrachtung. 
Relevant sind nur die grundfinanzierten (Globalbudget) sowie ZSL- und QVM-finanzierten Beschäftigungsanteile (ohne Drittmittelfinanzierung).</t>
  </si>
  <si>
    <t>9.1</t>
  </si>
  <si>
    <t>Mitarbeiter:innen der Verwaltung (VZÄ)</t>
  </si>
  <si>
    <t>Hier sind alle Beschäftigten des hauptberuflichen Personals einschließlich der Auszubildenden zu berücksichtigen (ohne Hochschulleitung), sofern sie einer überwiegenden Büro-Tätigkeit nachgehen (Angabe in VZÄ). Alle Finanzierungsquellen einschließlich Drittmittel sind relevant. 
Hilfskräfte gehören nicht zum hauptberuflichen Personal.
Beachten Sie auch die Erläuterungen zum wissenschaftlichen Personal der fachlichen Einrichtungen.</t>
  </si>
  <si>
    <t>9.2</t>
  </si>
  <si>
    <t>Mitarbeiter:innen der betriebstechnischen Werkstätten (VZÄ)</t>
  </si>
  <si>
    <t>Tragen Sie je Werkstatt-Typ das entsprechende hauptberufliche Personal ein (ohne Auszubildende). Das relevante Kriterium ist die überwiegende Tätigkeit in der Werkstatt bzw. als Hausmeister:in.</t>
  </si>
  <si>
    <t>2.2</t>
  </si>
  <si>
    <t>davon Professuren (VZÄ)</t>
  </si>
  <si>
    <t>9.3</t>
  </si>
  <si>
    <t>Weitere technische Beschäftigte, die vorrangig Reparatur-, Instandsetzungs- oder vergleichbare Aufgaben auf dem Campus außerhalb der Werkstätten erfüllen.</t>
  </si>
  <si>
    <t>3.1</t>
  </si>
  <si>
    <t>Jahreszahl, Zeitreihe</t>
  </si>
  <si>
    <t>10.1</t>
  </si>
  <si>
    <t>Gesamte Nutzungsfläche 1-6 der Hochschule (ohne Fremdnutzer).
Beachten Sie dazu Anhang 6 des Leitfadens.</t>
  </si>
  <si>
    <t>3.2</t>
  </si>
  <si>
    <t>Drittmitteleinnahmen</t>
  </si>
  <si>
    <t>10.2</t>
  </si>
  <si>
    <t>Anzahl zusammenhängender Gebäudekomplexe/Campus</t>
  </si>
  <si>
    <t>Optional besteht die Möglichkeit, Drittmittelausgaben anstelle der Einnahmen anzugeben.</t>
  </si>
  <si>
    <t>Überproportional hohe Investitionsmittelanteile können zu Verzerrungen führen; bitte bereinigen Sie die Angaben von einmaligen Ausreißern.</t>
  </si>
  <si>
    <t>3.3</t>
  </si>
  <si>
    <t>Die nachweislichen Drittmittel können Sie für interne Berechnungszwecke variieren.</t>
  </si>
  <si>
    <t>3.4</t>
  </si>
  <si>
    <t xml:space="preserve"> Personalkostensatz</t>
  </si>
  <si>
    <r>
      <t xml:space="preserve">Geltende DFG-Personalmittelsätze (Euro je Jahr) für „Doktorandin/Doktorand“ im Tabellenblatt </t>
    </r>
    <r>
      <rPr>
        <i/>
        <sz val="9"/>
        <rFont val="Arial"/>
        <family val="2"/>
      </rPr>
      <t>‚HAW-Kennwerte‘</t>
    </r>
    <r>
      <rPr>
        <sz val="9"/>
        <rFont val="Arial"/>
        <family val="2"/>
      </rPr>
      <t xml:space="preserve"> eintragen. Die Kennwerte werden entsprechend angepasst; das KWV nutzt die Werte für 2025/26 als Basisjahr.</t>
    </r>
  </si>
  <si>
    <t>3.5</t>
  </si>
  <si>
    <t>Für interne Berechnungszwecke besteht die Möglichkeit, den Personalkostensatz zu variieren.</t>
  </si>
  <si>
    <t>Ausbildungskapazität (Studienplätze) und Auslastung</t>
  </si>
  <si>
    <t>Hochschulbibliothek</t>
  </si>
  <si>
    <t>4.1</t>
  </si>
  <si>
    <t>Lehrangebot</t>
  </si>
  <si>
    <t>11</t>
  </si>
  <si>
    <t>Bibliothekspersonal (VZÄ)</t>
  </si>
  <si>
    <t>Hier sind alle Beschäftigten des hauptberuflichen Personals einschließlich der Auszubildenden zu berücksichtigen (Angabe in VZÄ). Alle Finanzierungsquellen einschließlich Drittmittel sind relevant. 
Hilfskräfte gehören nicht zum hauptberuflichen Personal.
Beachten Sie die Erläuterungen zum wissenschaftlichen Personal der fachlichen Einrichtungen.</t>
  </si>
  <si>
    <t>4.2</t>
  </si>
  <si>
    <t>Studiengang 1-n</t>
  </si>
  <si>
    <t>Für das Kennwertverfahren sind nur die Studiengänge relevant, die der Bemessungs- bzw. Lehreinheit zugeordnet sind. Das KWV geht vereinfacht davon aus, dass das Angebot einer Lehreinheit vollständig in die eigenen Studiengänge fließt (und kein Angebot in fremde Studiengänge).
Sie können Studiengänge mit gleicher RSZ und gleichem CW in einer Zeile zusammenfassen; addieren Sie in diesem Fall bitte die Anteilsquoten.</t>
  </si>
  <si>
    <t>Eine bauliche separat untergebrachte Teilbibliothek gilt als eigener Standort (andere Definition als bei der Verwaltung).</t>
  </si>
  <si>
    <t>4.3</t>
  </si>
  <si>
    <t>Anteilsquoten</t>
  </si>
  <si>
    <t>4.4</t>
  </si>
  <si>
    <t>Regelstudienzeit (RSZ)</t>
  </si>
  <si>
    <t>Regelstudienzeit des jeweiligen Studiengangs eintragen.</t>
  </si>
  <si>
    <t>13.1</t>
  </si>
  <si>
    <t>Unterhalb des Bemessungsblatts finden Sie eine Tabelle, in die die Studienplatzzahlen und Auslastungswerte aus den anderen Bemessungsblättern übertragen werden. 
Wenn Sie ein Bemessungsblatt dupliziert haben, werden die Zahlen nicht automatische übertragen. In diesem Fall müssen Sie die Verknüpfungen zu den ergänzten Blättern selbst erstellen (ab Zeile 117); dort finden Sie auch weitere Hinweise zum Vorgehen.</t>
  </si>
  <si>
    <t>4.5</t>
  </si>
  <si>
    <t>Curricularwert (CW)</t>
  </si>
  <si>
    <t>Die Curricularwerte der jeweiligen Studiengänge entnehmen Sie ebenfalls der Kapazitätsplanung. Hierbei sind alle Curricularanteile zu berücksichtigen, einschließlich der Anteile, die von anderen Lehreinheiten erbracht werden.</t>
  </si>
  <si>
    <t>4.6</t>
  </si>
  <si>
    <t>Anteile am Vollstudium</t>
  </si>
  <si>
    <r>
      <t xml:space="preserve">Falls Sie die Bemessungsblätter nicht nutzen, um die Studienplätze zu berechnen bzw. einzutragen, ist die Zahl der Studienplätze möglicherweise unvollständig. Für diesen Fall haben Sie die Möglichkeit (ab Zelle L59), die Studienplatzzahlen selbst einzutragen. 
Erforderlich sind: Lehr- und Forschungsbereich bzw. Fächergruppe, Studienplatzzahl und Auslastung, Flächenkennwert. 
Die Flächenkennwerte finden Sie im Tabellenblatt </t>
    </r>
    <r>
      <rPr>
        <i/>
        <sz val="9"/>
        <rFont val="Arial"/>
        <family val="2"/>
      </rPr>
      <t>‚HAW-Kennwerte‘</t>
    </r>
    <r>
      <rPr>
        <sz val="9"/>
        <rFont val="Arial"/>
        <family val="2"/>
      </rPr>
      <t xml:space="preserve">, Bereich </t>
    </r>
    <r>
      <rPr>
        <i/>
        <sz val="9"/>
        <rFont val="Arial"/>
        <family val="2"/>
      </rPr>
      <t>‚Lehren und Lernen‘</t>
    </r>
    <r>
      <rPr>
        <sz val="9"/>
        <rFont val="Arial"/>
        <family val="2"/>
      </rPr>
      <t xml:space="preserve">, Spalte </t>
    </r>
    <r>
      <rPr>
        <i/>
        <sz val="9"/>
        <rFont val="Arial"/>
        <family val="2"/>
      </rPr>
      <t>‚Bibliothek‘</t>
    </r>
    <r>
      <rPr>
        <sz val="9"/>
        <rFont val="Arial"/>
        <family val="2"/>
      </rPr>
      <t>.</t>
    </r>
  </si>
  <si>
    <t>4.7</t>
  </si>
  <si>
    <t>Alternativ können Werte aus der separaten Berechnungshilfe für die Studienplätze übernommen oder auch planerisch festgelegte Studienplatz(ziel)zahlen eingetragen werden.</t>
  </si>
  <si>
    <t>13.2</t>
  </si>
  <si>
    <t>Sofern die Bibliothek verpflichtet ist, Lese- und Arbeitsplätze für weitere Nutzer:innen anzubieten, können Sie die entsprechende Platzzahl in Zelle P69 eintragen.</t>
  </si>
  <si>
    <t>4.8</t>
  </si>
  <si>
    <t>Auslastung: Jahreszahl</t>
  </si>
  <si>
    <t>Jahreszahl der jüngsten verwendeten Kapazitätsplanung in Zelle Q87 eintragen.</t>
  </si>
  <si>
    <t>13.3</t>
  </si>
  <si>
    <t>alternativ gesetzter Wert</t>
  </si>
  <si>
    <t>Wenn Sie die Zahl der Arbeitsplätze für die Nutzer:innen auf anderem Wege ermittelt haben, können Sie das Ergebnis direkt eintragen.</t>
  </si>
  <si>
    <t>Dokumentation der vorgenommenen Berechnung</t>
  </si>
  <si>
    <t>4.9</t>
  </si>
  <si>
    <t>Auslastung: Werte</t>
  </si>
  <si>
    <t>4.10</t>
  </si>
  <si>
    <t>erweiterte Seminarräume</t>
  </si>
  <si>
    <t>Liste der Module, die auf die besonderen Seminarräume angewiesen sind</t>
  </si>
  <si>
    <t>4.11</t>
  </si>
  <si>
    <t>E-Prüfungen</t>
  </si>
  <si>
    <r>
      <t xml:space="preserve">Dropdown-Auswahl </t>
    </r>
    <r>
      <rPr>
        <i/>
        <sz val="9"/>
        <rFont val="Arial"/>
        <family val="2"/>
      </rPr>
      <t>ja/nein</t>
    </r>
    <r>
      <rPr>
        <sz val="9"/>
        <rFont val="Arial"/>
        <family val="2"/>
      </rPr>
      <t xml:space="preserve">
Nur zulässig, wenn regelmäßige E-Prüfungen während der Vorlesungszeit durchgeführt werden und dafür eigene technisch ausgestattete Räume erforderlich sind.</t>
    </r>
  </si>
  <si>
    <t>Dokumente, die die Konzeption und/oder Nutzung darstellen</t>
  </si>
  <si>
    <t xml:space="preserve">Typisierung der experimentellen/fachpraktischen Arbeitsweisen, Studienmodelle </t>
  </si>
  <si>
    <t>14</t>
  </si>
  <si>
    <t>5.1</t>
  </si>
  <si>
    <t>Professor:innen (Liste)</t>
  </si>
  <si>
    <t>14.1</t>
  </si>
  <si>
    <t>Medienbestand</t>
  </si>
  <si>
    <t>Das Bemessungsblatt bietet die Möglichkeit, den Zielbestand der Bibliothek überschlägig zu berechnen. Geben Sie in Zelle E52 zunächst den aktuellen Bestand an Printmedien, Monografien, gebundene Zeitschriften in Tausend Medieneinheiten ein; ohne Rara und Sondersammlungen.</t>
  </si>
  <si>
    <t>5.2</t>
  </si>
  <si>
    <t>Typisierung</t>
  </si>
  <si>
    <t>14.2</t>
  </si>
  <si>
    <t>jährliche Zu- und Abgänge</t>
  </si>
  <si>
    <t>Tragen Sie zudem die zu erwartenden jährlichen Ab- und Zugänge ein (ebenfalls in Tausend Medieneinheiten).</t>
  </si>
  <si>
    <t>14.3</t>
  </si>
  <si>
    <t>Ergänzen Sie den Zeitraum, für den die Planungsannahmen gelten soll. Das Bemessungsblatt ermittelt automatisch den Zielbestand.</t>
  </si>
  <si>
    <t>Das Bemessungsblatt berechnet die Summe der VZÄ und gibt die relevanten Werte für die Bedarfsbemessung automatisch wieder (prozentuale Aufteilung auf Typ 1 und 2).
Die berechneten Werte werden zu den Stammdaten der Bemessungseinheit übertragen (Zellen E23 und E24).</t>
  </si>
  <si>
    <t>14.4</t>
  </si>
  <si>
    <t>Wenn Sie von einem Nullwachstum des Medienbestands ausgehen oder wenn der Zielbestand auf einem anderen Wege festgelegt wird, können Sie den Wert direkt eintragen.</t>
  </si>
  <si>
    <t>5.3</t>
  </si>
  <si>
    <t>Professuren, experimentell
(direkte Eingabe)</t>
  </si>
  <si>
    <t>Wenn Sie die Typen-Zuordnung an anderer Stelle vornehmen, besteht die Möglichkeit, die erforderlichen Angaben direkt in die Zellen E23 und E24 einzutragen; überschreiben Sie in diesem Fall die Verknüpfung zur Zuordnungstabelle.</t>
  </si>
  <si>
    <t>Zuordnung der Professor:innen zu den Arbeitsweisen</t>
  </si>
  <si>
    <t>14.5</t>
  </si>
  <si>
    <t>Aufstellung</t>
  </si>
  <si>
    <t>5.4</t>
  </si>
  <si>
    <r>
      <t xml:space="preserve">Studiengänge (Liste)
</t>
    </r>
    <r>
      <rPr>
        <i/>
        <sz val="9"/>
        <color theme="1"/>
        <rFont val="Arial"/>
        <family val="2"/>
      </rPr>
      <t>(nur bei Gesundheits- und Pflegewissenschaften)</t>
    </r>
  </si>
  <si>
    <t>Tragen Sie zunächst die Studiengänge und zugehörigen Abschlüsse (Bachelor, Master) ein; die Nummerierung erfolgt automatisch. Tragen Sie zudem je Studiengang die Anzahl der Studienplätze ein, die auf die Typen (= Studienmodelle) entfallen. Aus dieser Angabe wird automatisch die prozentuale Verteilung der Studienplätze berechnet.</t>
  </si>
  <si>
    <t>6.1</t>
  </si>
  <si>
    <t>Anhang/Formular</t>
  </si>
  <si>
    <r>
      <t xml:space="preserve">Der Flächenbedarf für Experimentierhallen/Technikum ist zu begründen. Nutzen Sie das zur Verfügung stehende Formular </t>
    </r>
    <r>
      <rPr>
        <i/>
        <sz val="9"/>
        <rFont val="Arial"/>
        <family val="2"/>
      </rPr>
      <t>Experimentierhalle</t>
    </r>
    <r>
      <rPr>
        <sz val="9"/>
        <rFont val="Arial"/>
        <family val="2"/>
      </rPr>
      <t xml:space="preserve"> und die Hinweise im Leitfaden (Kapitel 5.1).</t>
    </r>
  </si>
  <si>
    <t>Begründungen (ausgefüllte Formulare)</t>
  </si>
  <si>
    <t>6.2</t>
  </si>
  <si>
    <t>Tragen Sie die Summe der Flächenbedarfe ein (Zelle P8) und ziehen Sie dabei die ggf. verrechnete Fläche von den benötigten Hallenflächen ab (siehe Formular Seite 3f.).</t>
  </si>
  <si>
    <t>7.1</t>
  </si>
  <si>
    <t>Sondertatbestände (STB) sind zu begründen. Nutzen Sie das zur Verfügung stehende Formular. 
Übertragen Sie bitte die Bezeichnungen und die Referenznummern in das Bemessungsblatt.</t>
  </si>
  <si>
    <t>7.2</t>
  </si>
  <si>
    <t>Fläche des Sondertatbestands</t>
  </si>
  <si>
    <t>7.3</t>
  </si>
  <si>
    <t>Nutzungsbereich</t>
  </si>
  <si>
    <t>7.4</t>
  </si>
  <si>
    <t>Gruppierung</t>
  </si>
  <si>
    <t>Falls mehr STB geltend gemacht werden als Zeilen zum Eintragen vorhanden sind: Gruppieren Sie mehrere STB in einer Zeile unter Nennung der enthaltenen Referenznummern. Achten Sie bei der Gruppierung auf einheitliche Nutzungsbereiche.</t>
  </si>
  <si>
    <t>Büroauslastung</t>
  </si>
  <si>
    <t>8.1</t>
  </si>
  <si>
    <r>
      <t xml:space="preserve">Sie haben die Möglichkeit, den </t>
    </r>
    <r>
      <rPr>
        <i/>
        <sz val="9"/>
        <rFont val="Arial"/>
        <family val="2"/>
      </rPr>
      <t>Auslastungsfaktor ‚Büro‘</t>
    </r>
    <r>
      <rPr>
        <sz val="9"/>
        <rFont val="Arial"/>
        <family val="2"/>
      </rPr>
      <t xml:space="preserve"> per Dropdown-Liste aus- und einzuschalten (aus = </t>
    </r>
    <r>
      <rPr>
        <i/>
        <sz val="9"/>
        <rFont val="Arial"/>
        <family val="2"/>
      </rPr>
      <t>nein</t>
    </r>
    <r>
      <rPr>
        <sz val="9"/>
        <rFont val="Arial"/>
        <family val="2"/>
      </rPr>
      <t>). Der Auslastungsfaktor ist standardmäßig aktiviert.
Beachten Sie die Vorgaben des Landes zur Anwendung des Auslastungsfaktors.</t>
    </r>
  </si>
  <si>
    <t>8.2</t>
  </si>
  <si>
    <r>
      <t xml:space="preserve">Es besteht die Möglichkeit, die Höhe des Auslastungsfaktors zu modifizieren. Im Tabellenblatt </t>
    </r>
    <r>
      <rPr>
        <i/>
        <sz val="9"/>
        <rFont val="Arial"/>
        <family val="2"/>
      </rPr>
      <t>‚Auslast_Büro‘</t>
    </r>
    <r>
      <rPr>
        <sz val="9"/>
        <rFont val="Arial"/>
        <family val="2"/>
      </rPr>
      <t xml:space="preserve"> können Sie die voreingestellten Platzfaktoren für die einzelnen Lehr- und Forschungsbereiche bzw. zentralen Einrichtungen sowie für die Personalkategorien per Dropdown-Liste verändern. 
Beachten Sie bitte die Hinweise im Anhang 2 des Leitfadens.
Beachten Sie zudem die Vorgaben des Landes.</t>
    </r>
  </si>
  <si>
    <r>
      <t xml:space="preserve">Tragen Sie in das Tabellenblatt </t>
    </r>
    <r>
      <rPr>
        <i/>
        <sz val="9"/>
        <rFont val="Arial"/>
        <family val="2"/>
      </rPr>
      <t>‚HAW‘</t>
    </r>
    <r>
      <rPr>
        <sz val="9"/>
        <rFont val="Arial"/>
        <family val="2"/>
      </rPr>
      <t xml:space="preserve"> (Startblatt) den Namen der Hochschule ein. Er wird automatisch in die Bemessungsblätter und in die Darstellung des Gesamtbedarfs übertragen. Der Name der Hochschule wird einmalig an dieser Stelle eingetragen.</t>
    </r>
  </si>
  <si>
    <t>Ein wichtiger Bezugspunkt für das KWV ist die Hochschulpersonalstatistik. Bitte erläutern Sie die Gründe, wenn Ihre Angaben davon abweichen.</t>
  </si>
  <si>
    <t xml:space="preserve">Ordnen Sie die zu bemessende Einheit einem der angebotenen Lehr- und Forschungsbereiche bzw. zentralen Einrichtungen zu (Bemessungsblätter). </t>
  </si>
  <si>
    <t>1.6</t>
  </si>
  <si>
    <t>Wenn nur ein Teil einer Bemessungseinheit z.B. aufgrund einer konkreten baulichen Maßnahme bemessen wird (Teilbetrachtung), ist regelmäßig auch die gesamte Einheit zu bemessen.</t>
  </si>
  <si>
    <t>Bei Fachbereichen mit mehreren Bemessungseinheiten ist das wissenschaftliche Personal fachbereichszentraler Einrichtungen aufzuteilen, z.B. aufgrund der Unterbringung oder anhand eines einfachen Umlageschlüssels (z.B. Anzahl Professor:innen).</t>
  </si>
  <si>
    <t>W2- und W3-Professuren (ohne Drittmittelfinanzierung und ohne Juniorprofessuren):
Sie können vakante Stellen angeben, sollten in diesem Fall unter 2.1 jedoch das Vertretungspersonal außer Acht lassen.
Absehbar wegfallende Professuren werden nicht mit angegeben; ebenso gemeinsame Berufungen, wenn die Tätigkeiten überwiegend nicht an der Hochschule ausgeübt werden.</t>
  </si>
  <si>
    <t>Technisches Personal außerhalb der Werkstätten (VZÄ)</t>
  </si>
  <si>
    <t>ggf. Bemessungsblatt duplizieren</t>
  </si>
  <si>
    <t>Bei Mehr-Fach-Studiengängen muss eine Gewichtung vorgenommen werden. Ziel ist es, dass ein Studienplatz in einem einzelnen beteiligten Studiengang, der für sich genommen keinem vollumfänglichen Studium entspricht, wie ein vollständiger Studienplatz behandelt werden kann.
Da Mehr-Fach-Studiengänge an HAW nur selten vorkommen, ist zumeist 100% einzutragen.</t>
  </si>
  <si>
    <t>Werte der letzten 7 Jahre aus der Kapazitätsplanung übertragen; dabei sind Werte über 100% zulässig. 
Das Bemessungsblatt ermittelt einen gewichteten Mittelwert. Im Kennwertverfahren wird eine Überlast nicht berücksichtigt; daher beträgt das Ergebnis der Zeitreihe max. 100%.
Achten Sie darauf, für jedes Jahr einen Wert einzutragen. Eine leere Zelle würde 0% bedeuten.</t>
  </si>
  <si>
    <t>Anteil der Seminare mit größeren Arbeitsplätzen als im normal bestuhlten Seminarraum (z.B. für Lehr-/Lernszenarien in Kleingruppen). Werte über 15% sind nicht zulässig.</t>
  </si>
  <si>
    <t>Die Bemessungsblätter enthalten Tabellen, mit denen die Professor:innen (nur W2 und W3) den experimentellen/fachpraktischen Arbeitsweisen zugeordnet werden können. Tragen Sie die Namen, Stellenanteile (VZÄ) und kurze Beschreibungen ein; die Nummerierung erfolgt automatisch.
Zumeist sind alle Professor:innen aufzulisten. Bei einigen Bemessungsblättern sind nur diejenigen Professor:innen einzutragen, die Bedarf an den entsprechenden Flächen haben.</t>
  </si>
  <si>
    <t>Übernehmen Sie die Anteilsquoten aus der Kapazitätsplanung. Die Summe der Anteilsquoten (Bachelor und Master) muss 100% betragen. Wenn die Summe 100% beträgt, wechselt das Kontrollfeld (Zelle S65) die Farbe von rot zu grün.</t>
  </si>
  <si>
    <r>
      <t xml:space="preserve">Die Beschreibungen zu den fächerspezifisch unterschiedlichen Arbeitsweisen finden Sie im Tabellenblatt </t>
    </r>
    <r>
      <rPr>
        <i/>
        <sz val="9"/>
        <rFont val="Arial"/>
        <family val="2"/>
      </rPr>
      <t>‚Labor-Typen‘</t>
    </r>
    <r>
      <rPr>
        <sz val="9"/>
        <rFont val="Arial"/>
        <family val="2"/>
      </rPr>
      <t xml:space="preserve"> sowie im Leitfaden, Kapitel 4.2 bis 4.4.
Die aufgelisteten Professor:innen müssen mit Hilfe der Dropdown-Listen jeweils den Typen zugeordnet werden (hälftig auf zwei Typen aufgeteilt oder vollständig zu einem Typ). Je nach Lehr- und Forschungsbereich stehen zwei Typen (0 und 1) oder drei Typen (0,1 und 2) zur Verfügung.</t>
    </r>
  </si>
  <si>
    <t>Wenn die Werte je Professur in der Summe 100% betragen, wechselt das Kontrollfeld (Spalte R) die Farbe von rot auf grün.</t>
  </si>
  <si>
    <r>
      <t xml:space="preserve">Geltend gemachter Flächenbedarf des STB ggf. nach Abzug von verrechneten Nutzungsanteilen (siehe Formular </t>
    </r>
    <r>
      <rPr>
        <i/>
        <sz val="9"/>
        <rFont val="Arial"/>
        <family val="2"/>
      </rPr>
      <t>Sondertatbestand</t>
    </r>
    <r>
      <rPr>
        <sz val="9"/>
        <rFont val="Arial"/>
        <family val="2"/>
      </rPr>
      <t xml:space="preserve"> S. 4f.).</t>
    </r>
  </si>
  <si>
    <r>
      <t xml:space="preserve">Ordnen Sie die STB den Nutzungsbereichen zu. Verwenden Sie dafür die Dropdown-Liste (Zellen Q25 bis Q29). Wenn kein Nutzungsbereich in Frage kommt, wählen Sie bitte die Kategorie </t>
    </r>
    <r>
      <rPr>
        <i/>
        <sz val="9"/>
        <rFont val="Arial"/>
        <family val="2"/>
      </rPr>
      <t>Weitere STB</t>
    </r>
    <r>
      <rPr>
        <sz val="9"/>
        <rFont val="Arial"/>
        <family val="2"/>
      </rPr>
      <t>. Wenn sich ein STB aus mehreren Nutzungsbereichen zusammensetzt, wählen Sie die überwiegende Nutzung. 
Achten Sie darauf, die Zuordnung vorzunehmen; anderenfalls wird die Flächenangabe nicht in die Summenzeile des Bemessungsblatts übernommen.</t>
    </r>
  </si>
  <si>
    <t>mit Auslastungsfaktor ‚Büro‘</t>
  </si>
  <si>
    <r>
      <t xml:space="preserve">Falls Sie ein Bemessungsblatt mehrmals benötigen und es kopieren, verlinken Sie den Namen der Bemessungseinheit sowie die Ergebniszeile (ab Zelle H34) mit dem Tabellenblatt </t>
    </r>
    <r>
      <rPr>
        <i/>
        <sz val="9"/>
        <rFont val="Arial"/>
        <family val="2"/>
      </rPr>
      <t xml:space="preserve">‚Bedarf gesamt‘ </t>
    </r>
    <r>
      <rPr>
        <sz val="9"/>
        <rFont val="Arial"/>
        <family val="2"/>
      </rPr>
      <t xml:space="preserve">und ggf. </t>
    </r>
    <r>
      <rPr>
        <i/>
        <sz val="9"/>
        <rFont val="Arial"/>
        <family val="2"/>
      </rPr>
      <t>‚Bedarf gesamt (02)‘</t>
    </r>
    <r>
      <rPr>
        <sz val="9"/>
        <rFont val="Arial"/>
        <family val="2"/>
      </rPr>
      <t>.
Beachten Sie zudem die Erläuterungen zur Bibliothek in dieser Checkliste (13.1).</t>
    </r>
  </si>
  <si>
    <t>Zudem müssen Sie die Fächer gruppieren. Nutzen Sie dafür die Dropdown-Liste je Zeile in Spalte P.
Die Summe der Studienplatzzahlen sowie die zugehörige Auslastung wird automatisch berechnet und im Bemessungsblatt eingetragen. Daraus leitet sich die erforderliche Zahl für Lese- und Arbeitsplätze der Nutzer:innen ab.</t>
  </si>
  <si>
    <t>Begründung, z.B. Kooperationsvereinbarung</t>
  </si>
  <si>
    <r>
      <t xml:space="preserve">alternative Berechnung der Studienplätze, z.B. mit der Hilfstabelle (Tabellenblätter </t>
    </r>
    <r>
      <rPr>
        <i/>
        <sz val="9"/>
        <rFont val="Arial"/>
        <family val="2"/>
      </rPr>
      <t>‚StPl-Berechnung‘</t>
    </r>
    <r>
      <rPr>
        <sz val="9"/>
        <rFont val="Arial"/>
        <family val="2"/>
      </rPr>
      <t xml:space="preserve"> und </t>
    </r>
    <r>
      <rPr>
        <i/>
        <sz val="9"/>
        <rFont val="Arial"/>
        <family val="2"/>
      </rPr>
      <t>‚StPl-Summen‘</t>
    </r>
    <r>
      <rPr>
        <sz val="9"/>
        <rFont val="Arial"/>
        <family val="2"/>
      </rPr>
      <t>)</t>
    </r>
  </si>
  <si>
    <t>13.4</t>
  </si>
  <si>
    <t>Studienplätze: Übertrag aus Bemessungsblättern</t>
  </si>
  <si>
    <t>Geben Sie an (Zellen E25 und E26), zu welchen Anteilen der Zielbestand in Standregalen im Freihandbereich/im Magazin bzw. in Rollregalen untergebracht ist. Standardmäßig ist zunächst 100% Freihandbereich eingetragen.</t>
  </si>
  <si>
    <t>Tragen Sie den Namen der Organisationseinheit in das ausgewählte Bemessungsblatt ein. Es stehen zwei Gliederungsebenen zur Verfügung; die zweite Ebene ist optional (für die fachlichen Einrichtungen z.B. Fachbereich Ingenieurwissenschaften, Lehreinheit Maschinenbau; für die zentralen Einrichtungen z.B. Zentrale Verwaltung, Standort Sonnenstraße). 
Die Einträge werden in die Darstellung des Gesamtbedarfs übertragen.</t>
  </si>
  <si>
    <t>Das letzte Jahr der verfügbaren Daten definiert die Zeitreihe der vorherigen Jahre. Tragen Sie bitte die Jahreszahl ein (Zelle E44); Werte vor 2024 sind nicht zulässig.</t>
  </si>
  <si>
    <t>Die Definition der Drittmittel folgt der Hochschulstatistik; abweichend können Sie wettbewerbliche Landesmittel zu den Drittmitteln zählen.
Die Eingabe erfolgt in 1.000 Euro. Das Bemessungsblatt ermittelt aus der Zeitreihe einen gewichteten Mittelwert. Achten Sie darauf, für jedes Jahr einen Wert einzutragen. Eine leere Zelle bedeutet 0 Euro.</t>
  </si>
  <si>
    <t>Hilfstabelle zur Studienplatzberechnung oder Begründung/Berechnung der planerischen Werte</t>
  </si>
  <si>
    <t>Studienplätze: direkte Eingabe</t>
  </si>
  <si>
    <t>1.100 m²</t>
  </si>
  <si>
    <t>Büroergänzende Servicefächen</t>
  </si>
  <si>
    <t>Auslast.-faktor</t>
  </si>
  <si>
    <t>Tab. "HAW-Kenn-werte": Student. Lernen, Bib.</t>
  </si>
  <si>
    <t>Werkstattpersonal</t>
  </si>
  <si>
    <t>weniger als 10 VZÄ</t>
  </si>
  <si>
    <t>10 bis 15 VZÄ</t>
  </si>
  <si>
    <t>mehr als 15 VZÄ</t>
  </si>
  <si>
    <r>
      <t>NUF 1-6</t>
    </r>
    <r>
      <rPr>
        <vertAlign val="subscript"/>
        <sz val="8"/>
        <rFont val="Arial"/>
        <family val="2"/>
      </rPr>
      <t xml:space="preserve">ges
</t>
    </r>
    <r>
      <rPr>
        <sz val="8"/>
        <rFont val="Arial"/>
        <family val="2"/>
      </rPr>
      <t>[m²]</t>
    </r>
  </si>
  <si>
    <r>
      <t>Nutzungsfläche</t>
    </r>
    <r>
      <rPr>
        <vertAlign val="subscript"/>
        <sz val="8"/>
        <rFont val="Arial"/>
        <family val="2"/>
      </rPr>
      <t>ges</t>
    </r>
    <r>
      <rPr>
        <sz val="8"/>
        <rFont val="Arial"/>
        <family val="2"/>
      </rPr>
      <t xml:space="preserve"> 1-6 [m²]</t>
    </r>
  </si>
  <si>
    <t>Nutzen Sie die Kapazitätsplanung Ihrer Hochschule. Einzutragen ist das Deputat des hauptberuflichen Personals sowie die Lehraufträge.
Tragen Sie das mittlere Lehrangebot (in SWS) eines Semesters ein (Mittelwert aus Winter- und Sommersemester).</t>
  </si>
  <si>
    <r>
      <t xml:space="preserve">Sign.
</t>
    </r>
    <r>
      <rPr>
        <sz val="7"/>
        <color theme="1"/>
        <rFont val="Arial"/>
        <family val="2"/>
      </rPr>
      <t>(B/M/E)</t>
    </r>
  </si>
  <si>
    <t>Zentrale Funkt.</t>
  </si>
  <si>
    <r>
      <t>Lehrangebot je Semester (SWS)</t>
    </r>
    <r>
      <rPr>
        <sz val="9"/>
        <color theme="1"/>
        <rFont val="Arial"/>
        <family val="2"/>
      </rPr>
      <t xml:space="preserve"> </t>
    </r>
  </si>
  <si>
    <t>Professuren,DV-orientiert</t>
  </si>
  <si>
    <t>Professuren, konstruktiv-exp.</t>
  </si>
  <si>
    <t>Kennwertverfahren NRW für HAW; HIS-Institut für Hochschulentwicklung e.V. (24.04.2026)</t>
  </si>
  <si>
    <t>Sie können den Blattschutz dieser Tabelle ohne Kennwort deaktivieren, z.B. um weitere Zeilen einzufügen.</t>
  </si>
  <si>
    <t>Sie können den Blattschutz dieser Tabelle ohne Kennwort deaktivieren, um weitere Zeilen einzufügen.</t>
  </si>
  <si>
    <t>Sie können den Blattschutz dieser Tabelle ohne Kennwort deaktivieren, um die Inhalten zu kopieren.</t>
  </si>
  <si>
    <t>abweichende Platz- und Auslastungsfaktoren</t>
  </si>
  <si>
    <t>Abweichende Platz- und Auslastungsfaktoren sind hinreichend zu begrün-den, regelmäßig mit Büro-Nutzungskonzepten. Vorgaben des Landes sind vorrangig.</t>
  </si>
  <si>
    <t>DV-orientiert, gesundheitswissenschaftlich mit Fachpraxis (z.B. Beratung) oder empirisch-methodisch (z.B. Statistik)</t>
  </si>
  <si>
    <t xml:space="preserve">DV-orientiert (z.B. in Wirtschaftsinformatik), empirisch-experimentell (Verhaltensbeobachtung, z.B. Marketing, Wirtschaftspsychologie) </t>
  </si>
  <si>
    <t xml:space="preserve">therapeutisch-orientiert oder Lehre in praktischer Verhaltensbeobachtung (z.B. Beratungs- oder Erziehungssituationen)  </t>
  </si>
  <si>
    <t>analytisch- und konstruktiv-experimentell (z.B. Baustoffe, Baukonstruktion, Bauphysik etc.)</t>
  </si>
  <si>
    <t xml:space="preserve">Studienplätze mit sozial-, erziehungs- oder wirtschaftswissenschaft-lichem Profil </t>
  </si>
  <si>
    <t>Heizung/Klima/ Lüftung, Sanitär</t>
  </si>
  <si>
    <t>+ Master</t>
  </si>
  <si>
    <t>Anmerkungen:</t>
  </si>
  <si>
    <t>Gewichtung der Bachelor-Studienplätze</t>
  </si>
  <si>
    <t>Studentisches Selbstlernen (fachliche Einr.)</t>
  </si>
  <si>
    <t>1. Hilfe-/
Ruhe-
räume</t>
  </si>
  <si>
    <t>Summe 
Sonder-tatbestände</t>
  </si>
  <si>
    <t>Kontrollfeld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</si>
</sst>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4" formatCode="_-* #,##0.00\ &quot;€&quot;_-;\-* #,##0.00\ &quot;€&quot;_-;_-* &quot;-&quot;??\ &quot;€&quot;_-;_-@_-"/>
    <numFmt numFmtId="164" formatCode="0.0"/>
    <numFmt numFmtId="165" formatCode="0.0%"/>
    <numFmt numFmtId="166" formatCode="0&quot; m²&quot;"/>
    <numFmt numFmtId="167" formatCode="0.0&quot; m²&quot;"/>
    <numFmt numFmtId="168" formatCode="#,##0&quot; m²&quot;"/>
    <numFmt numFmtId="169" formatCode="##\ &quot;m²&quot;"/>
    <numFmt numFmtId="170" formatCode="##.#\ &quot;m²&quot;"/>
    <numFmt numFmtId="171" formatCode="##.0\ &quot;m²&quot;"/>
    <numFmt numFmtId="172" formatCode="0.0&quot; VZÄ&quot;"/>
    <numFmt numFmtId="173" formatCode="0.0&quot; Prof.&quot;"/>
    <numFmt numFmtId="174" formatCode="#,##0&quot; HT€&quot;"/>
    <numFmt numFmtId="175" formatCode="#,##0&quot; StPl&quot;"/>
    <numFmt numFmtId="176" formatCode="#,##0&quot; TME&quot;"/>
    <numFmt numFmtId="177" formatCode="#&quot; J.&quot;"/>
    <numFmt numFmtId="178" formatCode="_-* #,##0\ &quot;€&quot;_-;\-* #,##0\ &quot;€&quot;_-;_-* &quot;-&quot;??\ &quot;€&quot;_-;_-@_-"/>
    <numFmt numFmtId="179" formatCode="0.00&quot; m²&quot;"/>
    <numFmt numFmtId="180" formatCode="0&quot; VZÄ&quot;"/>
    <numFmt numFmtId="181" formatCode="0&quot; Prof.&quot;"/>
    <numFmt numFmtId="182" formatCode="0\ %"/>
    <numFmt numFmtId="183" formatCode="0.0\ %"/>
    <numFmt numFmtId="184" formatCode="0.00\ %"/>
    <numFmt numFmtId="185" formatCode="#,##0&quot; AP&quot;"/>
    <numFmt numFmtId="186" formatCode="#,##0.0&quot; m²&quot;"/>
    <numFmt numFmtId="187" formatCode="##.00\ &quot;m²&quot;"/>
    <numFmt numFmtId="188" formatCode="0.00\ &quot;m²&quot;"/>
  </numFmts>
  <fonts count="6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8"/>
      <name val="Arial"/>
      <family val="2"/>
    </font>
    <font>
      <sz val="8"/>
      <name val="Wingdings"/>
      <charset val="2"/>
    </font>
    <font>
      <i/>
      <sz val="8"/>
      <name val="Arial"/>
      <family val="2"/>
    </font>
    <font>
      <b/>
      <i/>
      <sz val="10"/>
      <name val="Arial"/>
      <family val="2"/>
    </font>
    <font>
      <b/>
      <sz val="8"/>
      <name val="Arial"/>
      <family val="2"/>
    </font>
    <font>
      <i/>
      <sz val="10"/>
      <name val="Arial"/>
      <family val="2"/>
    </font>
    <font>
      <b/>
      <i/>
      <sz val="8"/>
      <name val="Arial"/>
      <family val="2"/>
    </font>
    <font>
      <sz val="10"/>
      <color indexed="8"/>
      <name val="Arial"/>
      <family val="2"/>
    </font>
    <font>
      <i/>
      <sz val="6"/>
      <name val="Arial"/>
      <family val="2"/>
    </font>
    <font>
      <sz val="8"/>
      <name val="Calibri"/>
      <family val="2"/>
    </font>
    <font>
      <b/>
      <sz val="8"/>
      <name val="Arial"/>
      <family val="2"/>
    </font>
    <font>
      <sz val="10"/>
      <name val="Arial"/>
      <family val="2"/>
    </font>
    <font>
      <sz val="6"/>
      <name val="Arial"/>
      <family val="2"/>
    </font>
    <font>
      <sz val="7"/>
      <name val="Arial"/>
      <family val="2"/>
    </font>
    <font>
      <b/>
      <i/>
      <sz val="9"/>
      <color indexed="60"/>
      <name val="Arial"/>
      <family val="2"/>
    </font>
    <font>
      <i/>
      <sz val="7"/>
      <name val="Arial"/>
      <family val="2"/>
    </font>
    <font>
      <sz val="8"/>
      <color theme="1"/>
      <name val="Arial"/>
      <family val="2"/>
    </font>
    <font>
      <b/>
      <i/>
      <sz val="10"/>
      <color rgb="FF006AB2"/>
      <name val="Arial"/>
      <family val="2"/>
    </font>
    <font>
      <sz val="8"/>
      <color theme="0"/>
      <name val="Arial"/>
      <family val="2"/>
    </font>
    <font>
      <sz val="8"/>
      <color theme="0" tint="-0.499984740745262"/>
      <name val="Arial"/>
      <family val="2"/>
    </font>
    <font>
      <sz val="8"/>
      <color rgb="FFFF0000"/>
      <name val="Arial"/>
      <family val="2"/>
    </font>
    <font>
      <sz val="8"/>
      <color theme="9"/>
      <name val="Arial"/>
      <family val="2"/>
    </font>
    <font>
      <i/>
      <sz val="8"/>
      <color theme="0"/>
      <name val="Arial"/>
      <family val="2"/>
    </font>
    <font>
      <i/>
      <sz val="10"/>
      <color theme="0"/>
      <name val="Arial"/>
      <family val="2"/>
    </font>
    <font>
      <i/>
      <sz val="6"/>
      <color theme="0"/>
      <name val="Arial"/>
      <family val="2"/>
    </font>
    <font>
      <sz val="8"/>
      <color rgb="FF006AB2"/>
      <name val="Arial"/>
      <family val="2"/>
    </font>
    <font>
      <sz val="10"/>
      <name val="Myriad Roman"/>
    </font>
    <font>
      <sz val="10"/>
      <name val="MS Sans Serif"/>
      <family val="2"/>
    </font>
    <font>
      <sz val="10"/>
      <name val="Arial"/>
      <family val="2"/>
    </font>
    <font>
      <sz val="10"/>
      <name val="Arial"/>
      <family val="2"/>
    </font>
    <font>
      <sz val="7"/>
      <color rgb="FFFF0000"/>
      <name val="Arial"/>
      <family val="2"/>
    </font>
    <font>
      <b/>
      <sz val="11"/>
      <color theme="1"/>
      <name val="Calibri"/>
      <family val="2"/>
      <scheme val="minor"/>
    </font>
    <font>
      <b/>
      <sz val="9"/>
      <name val="Arial"/>
      <family val="2"/>
    </font>
    <font>
      <sz val="9"/>
      <name val="Arial"/>
      <family val="2"/>
    </font>
    <font>
      <vertAlign val="subscript"/>
      <sz val="8"/>
      <name val="Arial"/>
      <family val="2"/>
    </font>
    <font>
      <i/>
      <sz val="9"/>
      <name val="Arial"/>
      <family val="2"/>
    </font>
    <font>
      <sz val="8"/>
      <color theme="0" tint="-0.34998626667073579"/>
      <name val="Arial"/>
      <family val="2"/>
    </font>
    <font>
      <sz val="9"/>
      <color theme="0" tint="-0.499984740745262"/>
      <name val="Arial"/>
      <family val="2"/>
    </font>
    <font>
      <i/>
      <sz val="8"/>
      <color theme="2" tint="-9.9978637043366805E-2"/>
      <name val="Arial"/>
      <family val="2"/>
    </font>
    <font>
      <sz val="8"/>
      <color theme="2" tint="-9.9978637043366805E-2"/>
      <name val="Arial"/>
      <family val="2"/>
    </font>
    <font>
      <b/>
      <sz val="10"/>
      <color theme="4"/>
      <name val="Arial"/>
      <family val="2"/>
    </font>
    <font>
      <b/>
      <i/>
      <sz val="8"/>
      <color rgb="FFFF0000"/>
      <name val="Arial"/>
      <family val="2"/>
    </font>
    <font>
      <b/>
      <i/>
      <sz val="9"/>
      <color rgb="FFFF0000"/>
      <name val="Arial"/>
      <family val="2"/>
    </font>
    <font>
      <b/>
      <sz val="9"/>
      <color rgb="FFFF0000"/>
      <name val="Arial"/>
      <family val="2"/>
    </font>
    <font>
      <sz val="9"/>
      <color theme="1"/>
      <name val="Arial"/>
      <family val="2"/>
    </font>
    <font>
      <b/>
      <sz val="9"/>
      <color theme="1"/>
      <name val="Arial"/>
      <family val="2"/>
    </font>
    <font>
      <i/>
      <u/>
      <sz val="9"/>
      <color theme="1"/>
      <name val="Arial"/>
      <family val="2"/>
    </font>
    <font>
      <i/>
      <sz val="9"/>
      <color theme="1"/>
      <name val="Arial"/>
      <family val="2"/>
    </font>
    <font>
      <sz val="7"/>
      <color theme="1"/>
      <name val="Arial"/>
      <family val="2"/>
    </font>
    <font>
      <b/>
      <sz val="8"/>
      <color theme="1"/>
      <name val="Arial"/>
      <family val="2"/>
    </font>
    <font>
      <i/>
      <sz val="8"/>
      <color theme="1"/>
      <name val="Arial"/>
      <family val="2"/>
    </font>
    <font>
      <i/>
      <sz val="7"/>
      <color theme="1"/>
      <name val="Arial"/>
      <family val="2"/>
    </font>
    <font>
      <i/>
      <u/>
      <sz val="9"/>
      <name val="Arial"/>
      <family val="2"/>
    </font>
  </fonts>
  <fills count="17">
    <fill>
      <patternFill patternType="none"/>
    </fill>
    <fill>
      <patternFill patternType="gray125"/>
    </fill>
    <fill>
      <patternFill patternType="lightGray"/>
    </fill>
    <fill>
      <patternFill patternType="solid">
        <fgColor theme="0"/>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lightGray">
        <bgColor auto="1"/>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3" tint="0.89999084444715716"/>
        <bgColor indexed="64"/>
      </patternFill>
    </fill>
  </fills>
  <borders count="81">
    <border>
      <left/>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bottom style="dotted">
        <color indexed="64"/>
      </bottom>
      <diagonal/>
    </border>
    <border>
      <left style="hair">
        <color indexed="64"/>
      </left>
      <right style="hair">
        <color indexed="64"/>
      </right>
      <top/>
      <bottom style="hair">
        <color indexed="64"/>
      </bottom>
      <diagonal/>
    </border>
    <border>
      <left/>
      <right/>
      <top style="thin">
        <color indexed="64"/>
      </top>
      <bottom style="thin">
        <color indexed="64"/>
      </bottom>
      <diagonal/>
    </border>
    <border>
      <left/>
      <right/>
      <top style="dotted">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
      <left style="thin">
        <color indexed="64"/>
      </left>
      <right style="hair">
        <color indexed="64"/>
      </right>
      <top style="hair">
        <color indexed="64"/>
      </top>
      <bottom style="hair">
        <color indexed="64"/>
      </bottom>
      <diagonal/>
    </border>
    <border>
      <left style="thin">
        <color indexed="64"/>
      </left>
      <right/>
      <top/>
      <bottom style="dotted">
        <color indexed="64"/>
      </bottom>
      <diagonal/>
    </border>
    <border>
      <left style="thin">
        <color indexed="64"/>
      </left>
      <right/>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bottom style="thin">
        <color indexed="64"/>
      </bottom>
      <diagonal/>
    </border>
    <border>
      <left/>
      <right/>
      <top style="dotted">
        <color auto="1"/>
      </top>
      <bottom style="dotted">
        <color auto="1"/>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style="medium">
        <color indexed="64"/>
      </left>
      <right/>
      <top style="hair">
        <color indexed="64"/>
      </top>
      <bottom/>
      <diagonal/>
    </border>
    <border>
      <left/>
      <right style="thin">
        <color indexed="64"/>
      </right>
      <top style="hair">
        <color indexed="64"/>
      </top>
      <bottom style="hair">
        <color indexed="64"/>
      </bottom>
      <diagonal/>
    </border>
    <border>
      <left style="medium">
        <color indexed="64"/>
      </left>
      <right/>
      <top/>
      <bottom style="hair">
        <color indexed="64"/>
      </bottom>
      <diagonal/>
    </border>
    <border>
      <left style="hair">
        <color indexed="64"/>
      </left>
      <right style="thin">
        <color indexed="64"/>
      </right>
      <top/>
      <bottom/>
      <diagonal/>
    </border>
    <border>
      <left style="medium">
        <color indexed="64"/>
      </left>
      <right style="hair">
        <color indexed="64"/>
      </right>
      <top style="hair">
        <color indexed="64"/>
      </top>
      <bottom/>
      <diagonal/>
    </border>
    <border>
      <left style="hair">
        <color indexed="64"/>
      </left>
      <right style="thin">
        <color indexed="64"/>
      </right>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dotted">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dotted">
        <color indexed="64"/>
      </left>
      <right/>
      <top/>
      <bottom/>
      <diagonal/>
    </border>
    <border>
      <left style="hair">
        <color auto="1"/>
      </left>
      <right/>
      <top/>
      <bottom style="dotted">
        <color auto="1"/>
      </bottom>
      <diagonal/>
    </border>
    <border>
      <left style="hair">
        <color auto="1"/>
      </left>
      <right/>
      <top style="dotted">
        <color auto="1"/>
      </top>
      <bottom style="dotted">
        <color auto="1"/>
      </bottom>
      <diagonal/>
    </border>
    <border>
      <left style="hair">
        <color auto="1"/>
      </left>
      <right style="hair">
        <color auto="1"/>
      </right>
      <top/>
      <bottom style="dotted">
        <color auto="1"/>
      </bottom>
      <diagonal/>
    </border>
    <border>
      <left style="hair">
        <color auto="1"/>
      </left>
      <right style="hair">
        <color auto="1"/>
      </right>
      <top style="dotted">
        <color auto="1"/>
      </top>
      <bottom style="dotted">
        <color auto="1"/>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dotted">
        <color auto="1"/>
      </right>
      <top/>
      <bottom/>
      <diagonal/>
    </border>
    <border>
      <left style="thin">
        <color indexed="64"/>
      </left>
      <right style="dotted">
        <color auto="1"/>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hair">
        <color indexed="64"/>
      </right>
      <top/>
      <bottom/>
      <diagonal/>
    </border>
    <border>
      <left style="dotted">
        <color indexed="64"/>
      </left>
      <right style="hair">
        <color indexed="64"/>
      </right>
      <top/>
      <bottom style="hair">
        <color indexed="64"/>
      </bottom>
      <diagonal/>
    </border>
  </borders>
  <cellStyleXfs count="35">
    <xf numFmtId="0" fontId="0" fillId="0" borderId="0" applyBorder="0"/>
    <xf numFmtId="44" fontId="9" fillId="0" borderId="0" applyFont="0" applyFill="0" applyBorder="0" applyAlignment="0" applyProtection="0"/>
    <xf numFmtId="0" fontId="8" fillId="0" borderId="0" applyBorder="0"/>
    <xf numFmtId="0" fontId="9" fillId="0" borderId="0"/>
    <xf numFmtId="0" fontId="8" fillId="0" borderId="0" applyBorder="0"/>
    <xf numFmtId="0" fontId="17" fillId="0" borderId="0"/>
    <xf numFmtId="0" fontId="7" fillId="0" borderId="0"/>
    <xf numFmtId="0" fontId="21" fillId="0" borderId="0" applyBorder="0"/>
    <xf numFmtId="0" fontId="10" fillId="0" borderId="0"/>
    <xf numFmtId="9" fontId="7" fillId="0" borderId="0" applyFont="0" applyFill="0" applyBorder="0" applyAlignment="0" applyProtection="0"/>
    <xf numFmtId="0" fontId="21" fillId="0" borderId="0" applyBorder="0"/>
    <xf numFmtId="9" fontId="21" fillId="0" borderId="0" applyFont="0" applyFill="0" applyBorder="0" applyAlignment="0" applyProtection="0"/>
    <xf numFmtId="0" fontId="36" fillId="0" borderId="0"/>
    <xf numFmtId="9" fontId="37" fillId="0" borderId="0" applyFont="0" applyFill="0" applyBorder="0" applyAlignment="0" applyProtection="0"/>
    <xf numFmtId="0" fontId="21" fillId="0" borderId="0"/>
    <xf numFmtId="0" fontId="19" fillId="0" borderId="0" applyBorder="0"/>
    <xf numFmtId="0" fontId="7" fillId="0" borderId="0"/>
    <xf numFmtId="0" fontId="21" fillId="0" borderId="0"/>
    <xf numFmtId="0" fontId="8" fillId="0" borderId="0" applyBorder="0"/>
    <xf numFmtId="9" fontId="38" fillId="0" borderId="0" applyFont="0" applyFill="0" applyBorder="0" applyAlignment="0" applyProtection="0"/>
    <xf numFmtId="44" fontId="39" fillId="0" borderId="0" applyFont="0" applyFill="0" applyBorder="0" applyAlignment="0" applyProtection="0"/>
    <xf numFmtId="0" fontId="6" fillId="0" borderId="0"/>
    <xf numFmtId="0" fontId="8" fillId="0" borderId="0" applyBorder="0"/>
    <xf numFmtId="0" fontId="9" fillId="0" borderId="0"/>
    <xf numFmtId="9" fontId="6" fillId="0" borderId="0" applyFont="0" applyFill="0" applyBorder="0" applyAlignment="0" applyProtection="0"/>
    <xf numFmtId="0" fontId="8" fillId="0" borderId="0" applyBorder="0"/>
    <xf numFmtId="9" fontId="8" fillId="0" borderId="0" applyFont="0" applyFill="0" applyBorder="0" applyAlignment="0" applyProtection="0"/>
    <xf numFmtId="9" fontId="5" fillId="0" borderId="0" applyFont="0" applyFill="0" applyBorder="0" applyAlignment="0" applyProtection="0"/>
    <xf numFmtId="0" fontId="4" fillId="0" borderId="0"/>
    <xf numFmtId="0" fontId="3" fillId="0" borderId="0"/>
    <xf numFmtId="0" fontId="2" fillId="0" borderId="0"/>
    <xf numFmtId="9" fontId="2" fillId="0" borderId="0" applyFont="0" applyFill="0" applyBorder="0" applyAlignment="0" applyProtection="0"/>
    <xf numFmtId="0" fontId="8" fillId="0" borderId="0" applyBorder="0"/>
    <xf numFmtId="0" fontId="8" fillId="0" borderId="0"/>
    <xf numFmtId="0" fontId="1" fillId="0" borderId="0"/>
  </cellStyleXfs>
  <cellXfs count="1395">
    <xf numFmtId="0" fontId="0" fillId="0" borderId="0" xfId="0"/>
    <xf numFmtId="0" fontId="10" fillId="0" borderId="0" xfId="2" applyFont="1"/>
    <xf numFmtId="0" fontId="10" fillId="0" borderId="0" xfId="2" applyFont="1" applyBorder="1"/>
    <xf numFmtId="0" fontId="10" fillId="0" borderId="0" xfId="2" applyFont="1" applyBorder="1" applyAlignment="1">
      <alignment vertical="top"/>
    </xf>
    <xf numFmtId="0" fontId="10" fillId="0" borderId="3" xfId="2" applyFont="1" applyBorder="1" applyAlignment="1">
      <alignment horizontal="center" wrapText="1"/>
    </xf>
    <xf numFmtId="0" fontId="8" fillId="0" borderId="3" xfId="2" applyBorder="1" applyAlignment="1">
      <alignment horizontal="center" wrapText="1"/>
    </xf>
    <xf numFmtId="0" fontId="15" fillId="0" borderId="3" xfId="2" applyFont="1" applyBorder="1" applyAlignment="1">
      <alignment horizontal="center" wrapText="1"/>
    </xf>
    <xf numFmtId="0" fontId="10" fillId="0" borderId="4" xfId="2" applyFont="1" applyBorder="1"/>
    <xf numFmtId="0" fontId="10" fillId="0" borderId="5" xfId="2" applyFont="1" applyBorder="1"/>
    <xf numFmtId="0" fontId="10" fillId="0" borderId="6" xfId="2" applyFont="1" applyBorder="1"/>
    <xf numFmtId="0" fontId="10" fillId="0" borderId="0" xfId="2" applyFont="1" applyBorder="1" applyAlignment="1">
      <alignment horizontal="centerContinuous" wrapText="1"/>
    </xf>
    <xf numFmtId="0" fontId="10" fillId="0" borderId="0" xfId="2" applyFont="1" applyBorder="1" applyAlignment="1">
      <alignment horizontal="centerContinuous" vertical="top" wrapText="1"/>
    </xf>
    <xf numFmtId="0" fontId="12" fillId="0" borderId="0" xfId="2" applyFont="1"/>
    <xf numFmtId="0" fontId="10" fillId="0" borderId="7" xfId="2" applyFont="1" applyBorder="1"/>
    <xf numFmtId="0" fontId="10" fillId="0" borderId="8" xfId="2" applyFont="1" applyBorder="1"/>
    <xf numFmtId="0" fontId="12" fillId="0" borderId="0" xfId="2" applyFont="1" applyBorder="1" applyAlignment="1">
      <alignment vertical="top"/>
    </xf>
    <xf numFmtId="0" fontId="10" fillId="0" borderId="7" xfId="2" applyFont="1" applyBorder="1" applyAlignment="1">
      <alignment vertical="center"/>
    </xf>
    <xf numFmtId="0" fontId="10" fillId="0" borderId="0" xfId="2" applyFont="1" applyBorder="1" applyAlignment="1">
      <alignment vertical="center"/>
    </xf>
    <xf numFmtId="0" fontId="10" fillId="0" borderId="8" xfId="2" applyFont="1" applyBorder="1" applyAlignment="1">
      <alignment vertical="center"/>
    </xf>
    <xf numFmtId="0" fontId="10" fillId="0" borderId="0" xfId="2" applyFont="1" applyAlignment="1">
      <alignment vertical="center"/>
    </xf>
    <xf numFmtId="166" fontId="10" fillId="0" borderId="9" xfId="2" applyNumberFormat="1" applyFont="1" applyBorder="1" applyAlignment="1">
      <alignment horizontal="right" vertical="center"/>
    </xf>
    <xf numFmtId="1" fontId="10" fillId="0" borderId="9" xfId="2" applyNumberFormat="1" applyFont="1" applyBorder="1" applyAlignment="1">
      <alignment horizontal="right" vertical="center"/>
    </xf>
    <xf numFmtId="1" fontId="10" fillId="0" borderId="9" xfId="2" applyNumberFormat="1" applyFont="1" applyBorder="1" applyAlignment="1">
      <alignment vertical="center"/>
    </xf>
    <xf numFmtId="168" fontId="10" fillId="0" borderId="10" xfId="2" applyNumberFormat="1" applyFont="1" applyBorder="1" applyAlignment="1">
      <alignment horizontal="right" vertical="center"/>
    </xf>
    <xf numFmtId="0" fontId="12" fillId="0" borderId="0" xfId="2" applyFont="1" applyBorder="1" applyAlignment="1">
      <alignment vertical="center"/>
    </xf>
    <xf numFmtId="2" fontId="10" fillId="0" borderId="9" xfId="2" applyNumberFormat="1" applyFont="1" applyBorder="1" applyAlignment="1">
      <alignment horizontal="right" vertical="center"/>
    </xf>
    <xf numFmtId="2" fontId="10" fillId="0" borderId="9" xfId="2" applyNumberFormat="1" applyFont="1" applyBorder="1" applyAlignment="1">
      <alignment vertical="center"/>
    </xf>
    <xf numFmtId="168" fontId="10" fillId="0" borderId="11" xfId="2" applyNumberFormat="1" applyFont="1" applyBorder="1" applyAlignment="1">
      <alignment horizontal="right" vertical="center"/>
    </xf>
    <xf numFmtId="9" fontId="12" fillId="0" borderId="0" xfId="2" applyNumberFormat="1" applyFont="1" applyBorder="1" applyAlignment="1">
      <alignment vertical="center"/>
    </xf>
    <xf numFmtId="173" fontId="10" fillId="0" borderId="9" xfId="2" applyNumberFormat="1" applyFont="1" applyBorder="1" applyAlignment="1">
      <alignment horizontal="right" vertical="center"/>
    </xf>
    <xf numFmtId="167" fontId="10" fillId="0" borderId="9" xfId="2" applyNumberFormat="1" applyFont="1" applyBorder="1" applyAlignment="1">
      <alignment horizontal="right" vertical="center"/>
    </xf>
    <xf numFmtId="168" fontId="10" fillId="0" borderId="12" xfId="2" applyNumberFormat="1" applyFont="1" applyBorder="1" applyAlignment="1">
      <alignment horizontal="right" vertical="center"/>
    </xf>
    <xf numFmtId="1" fontId="10" fillId="0" borderId="5" xfId="2" applyNumberFormat="1" applyFont="1" applyBorder="1" applyAlignment="1">
      <alignment horizontal="right" vertical="center"/>
    </xf>
    <xf numFmtId="1" fontId="10" fillId="0" borderId="5" xfId="2" applyNumberFormat="1" applyFont="1" applyBorder="1" applyAlignment="1">
      <alignment vertical="center"/>
    </xf>
    <xf numFmtId="168" fontId="10" fillId="0" borderId="13" xfId="2" applyNumberFormat="1" applyFont="1" applyBorder="1" applyAlignment="1">
      <alignment horizontal="right" vertical="center"/>
    </xf>
    <xf numFmtId="164" fontId="10" fillId="0" borderId="0" xfId="2" applyNumberFormat="1" applyFont="1" applyBorder="1" applyAlignment="1">
      <alignment vertical="center"/>
    </xf>
    <xf numFmtId="164" fontId="10" fillId="0" borderId="0" xfId="2" applyNumberFormat="1" applyFont="1" applyBorder="1" applyAlignment="1">
      <alignment horizontal="right" vertical="center"/>
    </xf>
    <xf numFmtId="3" fontId="10" fillId="0" borderId="0" xfId="2" applyNumberFormat="1" applyFont="1" applyBorder="1" applyAlignment="1">
      <alignment vertical="center"/>
    </xf>
    <xf numFmtId="168" fontId="14" fillId="0" borderId="14" xfId="2" applyNumberFormat="1" applyFont="1" applyBorder="1" applyAlignment="1">
      <alignment vertical="center"/>
    </xf>
    <xf numFmtId="174" fontId="10" fillId="0" borderId="9" xfId="2" applyNumberFormat="1" applyFont="1" applyBorder="1" applyAlignment="1">
      <alignment horizontal="right" vertical="center"/>
    </xf>
    <xf numFmtId="0" fontId="12" fillId="0" borderId="0" xfId="2" applyFont="1" applyAlignment="1">
      <alignment vertical="center"/>
    </xf>
    <xf numFmtId="0" fontId="10" fillId="0" borderId="0" xfId="2" applyFont="1" applyBorder="1" applyAlignment="1">
      <alignment horizontal="right"/>
    </xf>
    <xf numFmtId="0" fontId="10" fillId="0" borderId="0" xfId="2" applyFont="1" applyAlignment="1">
      <alignment horizontal="center"/>
    </xf>
    <xf numFmtId="3" fontId="10" fillId="0" borderId="0" xfId="2" applyNumberFormat="1" applyFont="1" applyBorder="1" applyAlignment="1">
      <alignment horizontal="center"/>
    </xf>
    <xf numFmtId="2" fontId="10" fillId="0" borderId="0" xfId="2" applyNumberFormat="1" applyFont="1" applyBorder="1" applyAlignment="1">
      <alignment horizontal="right" vertical="center"/>
    </xf>
    <xf numFmtId="0" fontId="10" fillId="0" borderId="15" xfId="2" applyFont="1" applyBorder="1"/>
    <xf numFmtId="0" fontId="10" fillId="0" borderId="16" xfId="2" applyFont="1" applyBorder="1"/>
    <xf numFmtId="0" fontId="15" fillId="0" borderId="0" xfId="2" applyFont="1" applyBorder="1" applyAlignment="1">
      <alignment vertical="center"/>
    </xf>
    <xf numFmtId="0" fontId="10" fillId="0" borderId="0" xfId="2" applyFont="1" applyBorder="1" applyAlignment="1">
      <alignment horizontal="center" vertical="center"/>
    </xf>
    <xf numFmtId="0" fontId="10" fillId="0" borderId="0" xfId="2" applyFont="1" applyBorder="1" applyAlignment="1">
      <alignment horizontal="center"/>
    </xf>
    <xf numFmtId="3" fontId="14" fillId="0" borderId="0" xfId="2" applyNumberFormat="1" applyFont="1" applyBorder="1" applyAlignment="1">
      <alignment horizontal="right" vertical="center"/>
    </xf>
    <xf numFmtId="9" fontId="10" fillId="2" borderId="9" xfId="2" applyNumberFormat="1" applyFont="1" applyFill="1" applyBorder="1" applyAlignment="1">
      <alignment vertical="center"/>
    </xf>
    <xf numFmtId="168" fontId="10" fillId="2" borderId="11" xfId="2" applyNumberFormat="1" applyFont="1" applyFill="1" applyBorder="1" applyAlignment="1">
      <alignment horizontal="right" vertical="center"/>
    </xf>
    <xf numFmtId="0" fontId="10" fillId="0" borderId="0" xfId="2" applyFont="1" applyBorder="1" applyAlignment="1">
      <alignment horizontal="right" vertical="center" indent="1"/>
    </xf>
    <xf numFmtId="3" fontId="14" fillId="0" borderId="14" xfId="2" applyNumberFormat="1" applyFont="1" applyBorder="1"/>
    <xf numFmtId="3" fontId="10" fillId="0" borderId="9" xfId="2" applyNumberFormat="1" applyFont="1" applyBorder="1" applyAlignment="1">
      <alignment vertical="center"/>
    </xf>
    <xf numFmtId="0" fontId="14" fillId="0" borderId="0" xfId="2" applyFont="1" applyBorder="1" applyAlignment="1">
      <alignment horizontal="left" vertical="center"/>
    </xf>
    <xf numFmtId="9" fontId="10" fillId="0" borderId="9" xfId="2" applyNumberFormat="1" applyFont="1" applyBorder="1" applyAlignment="1">
      <alignment vertical="center"/>
    </xf>
    <xf numFmtId="0" fontId="10" fillId="0" borderId="0" xfId="3" applyFont="1" applyAlignment="1">
      <alignment horizontal="left" vertical="top"/>
    </xf>
    <xf numFmtId="0" fontId="10" fillId="0" borderId="0" xfId="3" applyFont="1"/>
    <xf numFmtId="0" fontId="10" fillId="0" borderId="3" xfId="3" applyFont="1" applyBorder="1" applyAlignment="1">
      <alignment horizontal="left" vertical="top"/>
    </xf>
    <xf numFmtId="0" fontId="10" fillId="0" borderId="8" xfId="3" applyFont="1" applyBorder="1" applyAlignment="1">
      <alignment horizontal="left" vertical="top"/>
    </xf>
    <xf numFmtId="0" fontId="10" fillId="0" borderId="3" xfId="0" applyFont="1" applyBorder="1" applyAlignment="1">
      <alignment horizontal="center" vertical="top" wrapText="1"/>
    </xf>
    <xf numFmtId="0" fontId="10" fillId="0" borderId="0" xfId="0" applyFont="1"/>
    <xf numFmtId="0" fontId="10" fillId="0" borderId="0" xfId="3" applyFont="1" applyAlignment="1">
      <alignment horizontal="left" vertical="center"/>
    </xf>
    <xf numFmtId="0" fontId="10" fillId="0" borderId="0" xfId="3" applyFont="1" applyAlignment="1">
      <alignment horizontal="right" vertical="center"/>
    </xf>
    <xf numFmtId="0" fontId="10" fillId="0" borderId="0" xfId="3" applyFont="1" applyAlignment="1">
      <alignment vertical="center"/>
    </xf>
    <xf numFmtId="0" fontId="10" fillId="0" borderId="9" xfId="0" applyFont="1" applyBorder="1" applyAlignment="1">
      <alignment vertical="center" wrapText="1"/>
    </xf>
    <xf numFmtId="0" fontId="10" fillId="0" borderId="2" xfId="3" applyFont="1" applyBorder="1" applyAlignment="1">
      <alignment horizontal="left" vertical="center"/>
    </xf>
    <xf numFmtId="166" fontId="10" fillId="0" borderId="9" xfId="3" applyNumberFormat="1" applyFont="1" applyBorder="1" applyAlignment="1">
      <alignment horizontal="right" vertical="center"/>
    </xf>
    <xf numFmtId="0" fontId="10" fillId="0" borderId="0" xfId="0" applyFont="1" applyAlignment="1">
      <alignment horizontal="right"/>
    </xf>
    <xf numFmtId="0" fontId="10" fillId="0" borderId="9" xfId="4" applyFont="1" applyBorder="1" applyAlignment="1">
      <alignment vertical="center"/>
    </xf>
    <xf numFmtId="0" fontId="10" fillId="0" borderId="5" xfId="0" applyFont="1" applyBorder="1" applyAlignment="1">
      <alignment horizontal="right"/>
    </xf>
    <xf numFmtId="0" fontId="10" fillId="0" borderId="9" xfId="0" applyFont="1" applyBorder="1" applyAlignment="1">
      <alignment vertical="center"/>
    </xf>
    <xf numFmtId="0" fontId="10" fillId="0" borderId="5" xfId="3" applyFont="1" applyBorder="1" applyAlignment="1">
      <alignment vertical="center"/>
    </xf>
    <xf numFmtId="0" fontId="10" fillId="0" borderId="5" xfId="0" applyFont="1" applyBorder="1"/>
    <xf numFmtId="0" fontId="12" fillId="0" borderId="0" xfId="3" applyFont="1" applyAlignment="1">
      <alignment vertical="center"/>
    </xf>
    <xf numFmtId="0" fontId="18" fillId="0" borderId="0" xfId="3" applyFont="1" applyAlignment="1">
      <alignment horizontal="right"/>
    </xf>
    <xf numFmtId="0" fontId="12" fillId="0" borderId="0" xfId="3" applyFont="1"/>
    <xf numFmtId="0" fontId="13" fillId="0" borderId="0" xfId="3" applyFont="1" applyAlignment="1">
      <alignment horizontal="right" vertical="center"/>
    </xf>
    <xf numFmtId="0" fontId="9" fillId="0" borderId="0" xfId="5" applyFont="1"/>
    <xf numFmtId="0" fontId="9" fillId="0" borderId="0" xfId="5" applyFont="1" applyAlignment="1">
      <alignment horizontal="center"/>
    </xf>
    <xf numFmtId="0" fontId="9" fillId="0" borderId="21" xfId="5" applyFont="1" applyBorder="1" applyAlignment="1">
      <alignment horizontal="left"/>
    </xf>
    <xf numFmtId="0" fontId="9" fillId="0" borderId="0" xfId="3"/>
    <xf numFmtId="0" fontId="20" fillId="0" borderId="0" xfId="3" applyFont="1"/>
    <xf numFmtId="0" fontId="9" fillId="0" borderId="0" xfId="3" applyAlignment="1">
      <alignment vertical="center"/>
    </xf>
    <xf numFmtId="0" fontId="9" fillId="0" borderId="0" xfId="0" applyFont="1" applyBorder="1" applyAlignment="1">
      <alignment vertical="center" wrapText="1"/>
    </xf>
    <xf numFmtId="0" fontId="20" fillId="0" borderId="0" xfId="3" applyFont="1" applyAlignment="1">
      <alignment vertical="center"/>
    </xf>
    <xf numFmtId="3" fontId="9" fillId="0" borderId="9" xfId="3" applyNumberFormat="1" applyBorder="1" applyAlignment="1">
      <alignment horizontal="right" vertical="center"/>
    </xf>
    <xf numFmtId="168" fontId="20" fillId="0" borderId="10" xfId="3" applyNumberFormat="1" applyFont="1" applyBorder="1" applyAlignment="1">
      <alignment horizontal="right" vertical="center"/>
    </xf>
    <xf numFmtId="168" fontId="20" fillId="0" borderId="11" xfId="3" applyNumberFormat="1" applyFont="1" applyBorder="1" applyAlignment="1">
      <alignment horizontal="right" vertical="center"/>
    </xf>
    <xf numFmtId="3" fontId="9" fillId="0" borderId="9" xfId="3" applyNumberFormat="1" applyBorder="1" applyAlignment="1" applyProtection="1">
      <alignment horizontal="right" vertical="center"/>
      <protection locked="0"/>
    </xf>
    <xf numFmtId="3" fontId="9" fillId="0" borderId="18" xfId="3" applyNumberFormat="1" applyBorder="1" applyAlignment="1" applyProtection="1">
      <alignment horizontal="right" vertical="center"/>
      <protection locked="0"/>
    </xf>
    <xf numFmtId="168" fontId="20" fillId="0" borderId="0" xfId="3" applyNumberFormat="1" applyFont="1"/>
    <xf numFmtId="168" fontId="20" fillId="0" borderId="23" xfId="3" applyNumberFormat="1" applyFont="1" applyBorder="1"/>
    <xf numFmtId="0" fontId="9" fillId="0" borderId="9" xfId="0" applyFont="1" applyBorder="1" applyAlignment="1">
      <alignment horizontal="left" vertical="center"/>
    </xf>
    <xf numFmtId="0" fontId="21" fillId="0" borderId="0" xfId="0" applyFont="1" applyBorder="1"/>
    <xf numFmtId="0" fontId="21" fillId="0" borderId="8" xfId="0" applyFont="1" applyBorder="1"/>
    <xf numFmtId="0" fontId="10" fillId="0" borderId="21" xfId="2" applyFont="1" applyBorder="1"/>
    <xf numFmtId="0" fontId="10" fillId="0" borderId="28" xfId="2" applyFont="1" applyBorder="1"/>
    <xf numFmtId="0" fontId="10" fillId="0" borderId="22" xfId="2" applyFont="1" applyBorder="1"/>
    <xf numFmtId="168" fontId="14" fillId="0" borderId="0" xfId="2" applyNumberFormat="1" applyFont="1" applyBorder="1" applyAlignment="1">
      <alignment vertical="center"/>
    </xf>
    <xf numFmtId="0" fontId="10" fillId="0" borderId="15" xfId="2" applyFont="1" applyBorder="1" applyAlignment="1">
      <alignment vertical="center"/>
    </xf>
    <xf numFmtId="0" fontId="10" fillId="0" borderId="16" xfId="2" applyFont="1" applyBorder="1" applyAlignment="1">
      <alignment vertical="center"/>
    </xf>
    <xf numFmtId="0" fontId="10" fillId="0" borderId="17" xfId="2" applyFont="1" applyBorder="1" applyAlignment="1">
      <alignment vertical="center"/>
    </xf>
    <xf numFmtId="0" fontId="12" fillId="0" borderId="16" xfId="2" applyFont="1" applyBorder="1" applyAlignment="1">
      <alignment vertical="center"/>
    </xf>
    <xf numFmtId="0" fontId="10" fillId="0" borderId="29" xfId="2" applyFont="1" applyBorder="1"/>
    <xf numFmtId="0" fontId="10" fillId="0" borderId="29" xfId="2" applyFont="1" applyBorder="1" applyAlignment="1">
      <alignment horizontal="center"/>
    </xf>
    <xf numFmtId="0" fontId="10" fillId="0" borderId="5" xfId="2" applyFont="1" applyBorder="1" applyAlignment="1">
      <alignment horizontal="center"/>
    </xf>
    <xf numFmtId="0" fontId="10" fillId="0" borderId="6" xfId="2" applyFont="1" applyBorder="1" applyAlignment="1">
      <alignment horizontal="center"/>
    </xf>
    <xf numFmtId="0" fontId="16" fillId="0" borderId="0" xfId="2" applyFont="1" applyBorder="1"/>
    <xf numFmtId="0" fontId="10" fillId="0" borderId="8" xfId="2" applyFont="1" applyBorder="1" applyAlignment="1">
      <alignment horizontal="center"/>
    </xf>
    <xf numFmtId="1" fontId="10" fillId="0" borderId="0" xfId="2" applyNumberFormat="1" applyFont="1" applyBorder="1" applyAlignment="1">
      <alignment horizontal="right" vertical="center"/>
    </xf>
    <xf numFmtId="0" fontId="23" fillId="0" borderId="0" xfId="2" applyFont="1" applyBorder="1" applyAlignment="1">
      <alignment horizontal="center"/>
    </xf>
    <xf numFmtId="0" fontId="23" fillId="0" borderId="0" xfId="2" applyFont="1" applyBorder="1"/>
    <xf numFmtId="3" fontId="10" fillId="0" borderId="9" xfId="2" applyNumberFormat="1" applyFont="1" applyBorder="1" applyAlignment="1">
      <alignment horizontal="right"/>
    </xf>
    <xf numFmtId="0" fontId="12" fillId="0" borderId="0" xfId="2" applyFont="1" applyBorder="1" applyAlignment="1">
      <alignment horizontal="right"/>
    </xf>
    <xf numFmtId="0" fontId="12" fillId="0" borderId="0" xfId="2" applyFont="1" applyBorder="1" applyAlignment="1">
      <alignment horizontal="left"/>
    </xf>
    <xf numFmtId="3" fontId="14" fillId="0" borderId="14" xfId="2" applyNumberFormat="1" applyFont="1" applyBorder="1" applyAlignment="1">
      <alignment horizontal="right"/>
    </xf>
    <xf numFmtId="0" fontId="10" fillId="0" borderId="16" xfId="2" applyFont="1" applyBorder="1" applyAlignment="1">
      <alignment horizontal="center"/>
    </xf>
    <xf numFmtId="0" fontId="10" fillId="0" borderId="17" xfId="2" applyFont="1" applyBorder="1" applyAlignment="1">
      <alignment horizontal="center"/>
    </xf>
    <xf numFmtId="0" fontId="22" fillId="0" borderId="0" xfId="3" applyFont="1" applyAlignment="1">
      <alignment textRotation="90"/>
    </xf>
    <xf numFmtId="168" fontId="20" fillId="0" borderId="13" xfId="3" applyNumberFormat="1" applyFont="1" applyBorder="1" applyAlignment="1">
      <alignment horizontal="right" vertical="center"/>
    </xf>
    <xf numFmtId="0" fontId="24" fillId="0" borderId="0" xfId="0" applyFont="1" applyAlignment="1">
      <alignment horizontal="right"/>
    </xf>
    <xf numFmtId="0" fontId="9" fillId="0" borderId="9" xfId="0" applyFont="1" applyBorder="1" applyAlignment="1">
      <alignment horizontal="left" vertical="center" wrapText="1"/>
    </xf>
    <xf numFmtId="0" fontId="9" fillId="0" borderId="9" xfId="4" applyFont="1" applyBorder="1" applyAlignment="1">
      <alignment horizontal="left" vertical="center"/>
    </xf>
    <xf numFmtId="0" fontId="9" fillId="0" borderId="9" xfId="4"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27" fillId="0" borderId="0" xfId="8" applyFont="1" applyAlignment="1">
      <alignment horizontal="left" vertical="center"/>
    </xf>
    <xf numFmtId="0" fontId="10" fillId="0" borderId="4" xfId="10" applyFont="1" applyBorder="1"/>
    <xf numFmtId="0" fontId="10" fillId="0" borderId="5" xfId="10" applyFont="1" applyBorder="1"/>
    <xf numFmtId="0" fontId="10" fillId="0" borderId="6" xfId="10" applyFont="1" applyBorder="1"/>
    <xf numFmtId="0" fontId="10" fillId="0" borderId="0" xfId="10" applyFont="1"/>
    <xf numFmtId="0" fontId="10" fillId="0" borderId="0" xfId="10" applyFont="1" applyBorder="1" applyAlignment="1">
      <alignment vertical="top"/>
    </xf>
    <xf numFmtId="0" fontId="10" fillId="0" borderId="7" xfId="10" applyFont="1" applyBorder="1"/>
    <xf numFmtId="0" fontId="10" fillId="0" borderId="0" xfId="10" applyFont="1" applyBorder="1"/>
    <xf numFmtId="0" fontId="21" fillId="0" borderId="0" xfId="7" applyBorder="1"/>
    <xf numFmtId="0" fontId="21" fillId="0" borderId="8" xfId="7" applyBorder="1"/>
    <xf numFmtId="0" fontId="28" fillId="0" borderId="0" xfId="10" applyFont="1" applyBorder="1" applyAlignment="1">
      <alignment vertical="center"/>
    </xf>
    <xf numFmtId="0" fontId="28" fillId="0" borderId="0" xfId="10" applyFont="1"/>
    <xf numFmtId="0" fontId="10" fillId="0" borderId="21" xfId="10" applyFont="1" applyBorder="1"/>
    <xf numFmtId="0" fontId="10" fillId="0" borderId="28" xfId="10" applyFont="1" applyBorder="1"/>
    <xf numFmtId="0" fontId="10" fillId="0" borderId="22" xfId="10" applyFont="1" applyBorder="1"/>
    <xf numFmtId="0" fontId="21" fillId="0" borderId="3" xfId="10" applyBorder="1" applyAlignment="1">
      <alignment horizontal="center" wrapText="1"/>
    </xf>
    <xf numFmtId="0" fontId="15" fillId="0" borderId="3" xfId="10" applyFont="1" applyBorder="1" applyAlignment="1">
      <alignment horizontal="center" wrapText="1"/>
    </xf>
    <xf numFmtId="0" fontId="12" fillId="0" borderId="0" xfId="10" applyFont="1"/>
    <xf numFmtId="0" fontId="12" fillId="0" borderId="0" xfId="10" applyFont="1" applyBorder="1" applyAlignment="1">
      <alignment vertical="top"/>
    </xf>
    <xf numFmtId="0" fontId="10" fillId="0" borderId="7" xfId="10" applyFont="1" applyBorder="1" applyAlignment="1">
      <alignment vertical="center"/>
    </xf>
    <xf numFmtId="0" fontId="12" fillId="0" borderId="0" xfId="10" applyFont="1" applyBorder="1" applyAlignment="1">
      <alignment vertical="center"/>
    </xf>
    <xf numFmtId="0" fontId="10" fillId="0" borderId="0" xfId="10" applyFont="1" applyBorder="1" applyAlignment="1">
      <alignment vertical="center"/>
    </xf>
    <xf numFmtId="0" fontId="10" fillId="0" borderId="8" xfId="10" applyFont="1" applyBorder="1" applyAlignment="1">
      <alignment vertical="center"/>
    </xf>
    <xf numFmtId="0" fontId="10" fillId="0" borderId="0" xfId="10" applyFont="1" applyAlignment="1">
      <alignment vertical="center"/>
    </xf>
    <xf numFmtId="168" fontId="10" fillId="0" borderId="10" xfId="10" applyNumberFormat="1" applyFont="1" applyBorder="1" applyAlignment="1">
      <alignment horizontal="right" vertical="center"/>
    </xf>
    <xf numFmtId="3" fontId="10" fillId="0" borderId="0" xfId="10" applyNumberFormat="1" applyFont="1" applyBorder="1" applyAlignment="1">
      <alignment horizontal="right" vertical="center"/>
    </xf>
    <xf numFmtId="0" fontId="28" fillId="0" borderId="0" xfId="10" applyFont="1" applyAlignment="1">
      <alignment vertical="center"/>
    </xf>
    <xf numFmtId="0" fontId="14" fillId="0" borderId="0" xfId="10" applyFont="1" applyBorder="1" applyAlignment="1">
      <alignment horizontal="left" vertical="center"/>
    </xf>
    <xf numFmtId="168" fontId="10" fillId="0" borderId="11" xfId="10" applyNumberFormat="1" applyFont="1" applyBorder="1" applyAlignment="1">
      <alignment horizontal="right" vertical="center"/>
    </xf>
    <xf numFmtId="1" fontId="10" fillId="0" borderId="0" xfId="10" applyNumberFormat="1" applyFont="1" applyBorder="1" applyAlignment="1">
      <alignment horizontal="right" vertical="center"/>
    </xf>
    <xf numFmtId="0" fontId="10" fillId="0" borderId="0" xfId="10" applyFont="1" applyBorder="1" applyAlignment="1">
      <alignment horizontal="right" vertical="center" indent="1"/>
    </xf>
    <xf numFmtId="168" fontId="10" fillId="0" borderId="13" xfId="10" applyNumberFormat="1" applyFont="1" applyBorder="1" applyAlignment="1">
      <alignment horizontal="right" vertical="center"/>
    </xf>
    <xf numFmtId="0" fontId="12" fillId="0" borderId="0" xfId="10" applyFont="1" applyBorder="1" applyAlignment="1">
      <alignment horizontal="right" vertical="center" indent="1"/>
    </xf>
    <xf numFmtId="168" fontId="10" fillId="0" borderId="0" xfId="10" applyNumberFormat="1" applyFont="1" applyBorder="1" applyAlignment="1">
      <alignment horizontal="right" vertical="center"/>
    </xf>
    <xf numFmtId="168" fontId="14" fillId="0" borderId="14" xfId="10" applyNumberFormat="1" applyFont="1" applyBorder="1" applyAlignment="1">
      <alignment vertical="center"/>
    </xf>
    <xf numFmtId="0" fontId="15" fillId="0" borderId="0" xfId="10" applyFont="1" applyBorder="1" applyAlignment="1">
      <alignment vertical="center"/>
    </xf>
    <xf numFmtId="0" fontId="10" fillId="0" borderId="0" xfId="10" applyFont="1" applyAlignment="1">
      <alignment horizontal="center"/>
    </xf>
    <xf numFmtId="0" fontId="10" fillId="0" borderId="8" xfId="10" applyFont="1" applyBorder="1"/>
    <xf numFmtId="0" fontId="10" fillId="0" borderId="29" xfId="10" applyFont="1" applyBorder="1"/>
    <xf numFmtId="0" fontId="10" fillId="0" borderId="29" xfId="10" applyFont="1" applyBorder="1" applyAlignment="1">
      <alignment horizontal="center"/>
    </xf>
    <xf numFmtId="0" fontId="10" fillId="0" borderId="0" xfId="10" applyFont="1" applyBorder="1" applyAlignment="1">
      <alignment horizontal="center"/>
    </xf>
    <xf numFmtId="0" fontId="10" fillId="0" borderId="0" xfId="10" applyFont="1" applyBorder="1" applyAlignment="1">
      <alignment horizontal="right" indent="1"/>
    </xf>
    <xf numFmtId="0" fontId="10" fillId="0" borderId="32" xfId="10" applyFont="1" applyBorder="1"/>
    <xf numFmtId="0" fontId="10" fillId="0" borderId="32" xfId="10" applyFont="1" applyBorder="1" applyAlignment="1">
      <alignment horizontal="center"/>
    </xf>
    <xf numFmtId="0" fontId="10" fillId="0" borderId="0" xfId="10" applyFont="1" applyBorder="1" applyAlignment="1">
      <alignment horizontal="centerContinuous" wrapText="1"/>
    </xf>
    <xf numFmtId="0" fontId="10" fillId="0" borderId="0" xfId="10" applyFont="1" applyBorder="1" applyAlignment="1">
      <alignment horizontal="centerContinuous" vertical="top" wrapText="1"/>
    </xf>
    <xf numFmtId="165" fontId="10" fillId="0" borderId="0" xfId="10" applyNumberFormat="1" applyFont="1" applyBorder="1" applyAlignment="1">
      <alignment vertical="center"/>
    </xf>
    <xf numFmtId="172" fontId="12" fillId="0" borderId="5" xfId="10" applyNumberFormat="1" applyFont="1" applyBorder="1" applyAlignment="1">
      <alignment horizontal="right" vertical="center"/>
    </xf>
    <xf numFmtId="166" fontId="12" fillId="0" borderId="5" xfId="10" applyNumberFormat="1" applyFont="1" applyBorder="1" applyAlignment="1">
      <alignment horizontal="right" vertical="center"/>
    </xf>
    <xf numFmtId="1" fontId="12" fillId="0" borderId="0" xfId="10" applyNumberFormat="1" applyFont="1" applyBorder="1" applyAlignment="1">
      <alignment vertical="center"/>
    </xf>
    <xf numFmtId="172" fontId="10" fillId="0" borderId="0" xfId="10" applyNumberFormat="1" applyFont="1" applyBorder="1" applyAlignment="1">
      <alignment horizontal="right" vertical="center"/>
    </xf>
    <xf numFmtId="167" fontId="10" fillId="0" borderId="0" xfId="10" applyNumberFormat="1" applyFont="1" applyBorder="1" applyAlignment="1">
      <alignment horizontal="right" vertical="center"/>
    </xf>
    <xf numFmtId="9" fontId="10" fillId="0" borderId="0" xfId="10" applyNumberFormat="1" applyFont="1" applyBorder="1" applyAlignment="1">
      <alignment vertical="center"/>
    </xf>
    <xf numFmtId="1" fontId="10" fillId="0" borderId="0" xfId="10" applyNumberFormat="1" applyFont="1" applyBorder="1" applyAlignment="1">
      <alignment vertical="center"/>
    </xf>
    <xf numFmtId="0" fontId="30" fillId="0" borderId="0" xfId="10" applyFont="1" applyAlignment="1">
      <alignment vertical="center"/>
    </xf>
    <xf numFmtId="0" fontId="30" fillId="0" borderId="0" xfId="10" applyFont="1" applyBorder="1" applyAlignment="1">
      <alignment vertical="center"/>
    </xf>
    <xf numFmtId="174" fontId="10" fillId="0" borderId="0" xfId="10" applyNumberFormat="1" applyFont="1" applyBorder="1" applyAlignment="1">
      <alignment horizontal="right" vertical="center"/>
    </xf>
    <xf numFmtId="0" fontId="28" fillId="3" borderId="0" xfId="10" applyFont="1" applyFill="1" applyBorder="1" applyAlignment="1">
      <alignment vertical="center"/>
    </xf>
    <xf numFmtId="2" fontId="10" fillId="0" borderId="0" xfId="10" applyNumberFormat="1" applyFont="1" applyBorder="1" applyAlignment="1">
      <alignment horizontal="right" vertical="center"/>
    </xf>
    <xf numFmtId="0" fontId="26" fillId="0" borderId="0" xfId="10" applyFont="1" applyBorder="1" applyAlignment="1">
      <alignment vertical="center"/>
    </xf>
    <xf numFmtId="0" fontId="32" fillId="0" borderId="0" xfId="10" applyFont="1" applyAlignment="1">
      <alignment vertical="center"/>
    </xf>
    <xf numFmtId="9" fontId="32" fillId="0" borderId="0" xfId="10" applyNumberFormat="1" applyFont="1" applyBorder="1" applyAlignment="1">
      <alignment vertical="center"/>
    </xf>
    <xf numFmtId="0" fontId="31" fillId="0" borderId="0" xfId="10" applyFont="1" applyAlignment="1">
      <alignment vertical="center"/>
    </xf>
    <xf numFmtId="0" fontId="31" fillId="0" borderId="0" xfId="10" applyFont="1" applyBorder="1" applyAlignment="1">
      <alignment vertical="center"/>
    </xf>
    <xf numFmtId="172" fontId="10" fillId="0" borderId="20" xfId="10" applyNumberFormat="1" applyFont="1" applyBorder="1" applyAlignment="1">
      <alignment vertical="center"/>
    </xf>
    <xf numFmtId="1" fontId="31" fillId="0" borderId="0" xfId="10" applyNumberFormat="1" applyFont="1" applyBorder="1" applyAlignment="1">
      <alignment vertical="center"/>
    </xf>
    <xf numFmtId="0" fontId="32" fillId="0" borderId="0" xfId="10" applyFont="1"/>
    <xf numFmtId="0" fontId="32" fillId="0" borderId="0" xfId="10" applyFont="1" applyBorder="1"/>
    <xf numFmtId="0" fontId="33" fillId="0" borderId="0" xfId="10" applyFont="1" applyBorder="1" applyAlignment="1">
      <alignment vertical="center"/>
    </xf>
    <xf numFmtId="0" fontId="34" fillId="0" borderId="0" xfId="8" applyFont="1" applyAlignment="1">
      <alignment horizontal="right"/>
    </xf>
    <xf numFmtId="0" fontId="25" fillId="0" borderId="32" xfId="10" applyFont="1" applyBorder="1"/>
    <xf numFmtId="0" fontId="23" fillId="0" borderId="0" xfId="10" applyFont="1"/>
    <xf numFmtId="0" fontId="9" fillId="0" borderId="3" xfId="5" applyFont="1" applyBorder="1" applyAlignment="1">
      <alignment horizontal="left"/>
    </xf>
    <xf numFmtId="0" fontId="25" fillId="0" borderId="0" xfId="2" applyFont="1" applyAlignment="1">
      <alignment horizontal="right"/>
    </xf>
    <xf numFmtId="0" fontId="9" fillId="0" borderId="0" xfId="2" applyFont="1"/>
    <xf numFmtId="0" fontId="9" fillId="0" borderId="0" xfId="2" applyFont="1" applyAlignment="1">
      <alignment vertical="center"/>
    </xf>
    <xf numFmtId="0" fontId="9" fillId="0" borderId="0" xfId="2" applyFont="1" applyBorder="1" applyAlignment="1">
      <alignment vertical="center"/>
    </xf>
    <xf numFmtId="2" fontId="9" fillId="0" borderId="9" xfId="2" applyNumberFormat="1" applyFont="1" applyBorder="1" applyAlignment="1">
      <alignment horizontal="right" vertical="center"/>
    </xf>
    <xf numFmtId="0" fontId="9" fillId="0" borderId="0" xfId="2" applyFont="1" applyBorder="1"/>
    <xf numFmtId="0" fontId="9" fillId="0" borderId="0" xfId="2" applyFont="1" applyBorder="1" applyAlignment="1">
      <alignment horizontal="right"/>
    </xf>
    <xf numFmtId="0" fontId="9" fillId="0" borderId="0" xfId="2" applyFont="1" applyBorder="1" applyAlignment="1">
      <alignment horizontal="center"/>
    </xf>
    <xf numFmtId="0" fontId="9" fillId="0" borderId="29" xfId="2" applyFont="1" applyBorder="1"/>
    <xf numFmtId="0" fontId="9" fillId="0" borderId="7" xfId="2" applyFont="1" applyBorder="1"/>
    <xf numFmtId="0" fontId="9" fillId="0" borderId="15" xfId="2" applyFont="1" applyBorder="1"/>
    <xf numFmtId="1" fontId="10" fillId="0" borderId="0" xfId="2" applyNumberFormat="1" applyFont="1" applyBorder="1" applyAlignment="1">
      <alignment vertical="center"/>
    </xf>
    <xf numFmtId="166" fontId="10" fillId="0" borderId="0" xfId="2" applyNumberFormat="1" applyFont="1" applyBorder="1" applyAlignment="1">
      <alignment horizontal="right" vertical="center"/>
    </xf>
    <xf numFmtId="0" fontId="10" fillId="0" borderId="4" xfId="2" applyFont="1" applyBorder="1" applyAlignment="1">
      <alignment wrapText="1"/>
    </xf>
    <xf numFmtId="0" fontId="10" fillId="0" borderId="21" xfId="2" applyFont="1" applyBorder="1" applyAlignment="1">
      <alignment horizontal="center" wrapText="1"/>
    </xf>
    <xf numFmtId="0" fontId="10" fillId="0" borderId="5" xfId="2" applyFont="1" applyBorder="1" applyAlignment="1">
      <alignment vertical="top"/>
    </xf>
    <xf numFmtId="0" fontId="10" fillId="0" borderId="28" xfId="2" applyFont="1" applyBorder="1" applyAlignment="1">
      <alignment vertical="top"/>
    </xf>
    <xf numFmtId="0" fontId="10" fillId="0" borderId="28" xfId="2" applyFont="1" applyBorder="1" applyAlignment="1">
      <alignment horizontal="center"/>
    </xf>
    <xf numFmtId="0" fontId="16" fillId="0" borderId="0" xfId="2" applyFont="1" applyBorder="1" applyAlignment="1">
      <alignment horizontal="right"/>
    </xf>
    <xf numFmtId="0" fontId="9" fillId="0" borderId="35" xfId="2" applyFont="1" applyBorder="1" applyAlignment="1">
      <alignment horizontal="center" textRotation="90"/>
    </xf>
    <xf numFmtId="0" fontId="9" fillId="0" borderId="35" xfId="2" applyFont="1" applyBorder="1" applyAlignment="1">
      <alignment horizontal="center" textRotation="90" wrapText="1"/>
    </xf>
    <xf numFmtId="168" fontId="10" fillId="0" borderId="36" xfId="2" applyNumberFormat="1" applyFont="1" applyBorder="1" applyAlignment="1">
      <alignment vertical="center"/>
    </xf>
    <xf numFmtId="0" fontId="9" fillId="0" borderId="0" xfId="2" applyFont="1" applyBorder="1" applyAlignment="1">
      <alignment horizontal="right" vertical="center" indent="1"/>
    </xf>
    <xf numFmtId="0" fontId="15" fillId="0" borderId="29" xfId="2" applyFont="1" applyBorder="1" applyAlignment="1">
      <alignment vertical="center"/>
    </xf>
    <xf numFmtId="0" fontId="12" fillId="0" borderId="29" xfId="2" applyFont="1" applyBorder="1" applyAlignment="1">
      <alignment vertical="center"/>
    </xf>
    <xf numFmtId="0" fontId="10" fillId="0" borderId="29" xfId="2" applyFont="1" applyBorder="1" applyAlignment="1">
      <alignment horizontal="center" vertical="center"/>
    </xf>
    <xf numFmtId="3" fontId="14" fillId="0" borderId="29" xfId="2" applyNumberFormat="1" applyFont="1" applyBorder="1" applyAlignment="1">
      <alignment horizontal="right" vertical="center"/>
    </xf>
    <xf numFmtId="3" fontId="10" fillId="0" borderId="0" xfId="2" applyNumberFormat="1" applyFont="1" applyBorder="1"/>
    <xf numFmtId="0" fontId="26" fillId="0" borderId="0" xfId="2" applyFont="1"/>
    <xf numFmtId="0" fontId="9" fillId="0" borderId="16" xfId="2" applyFont="1" applyBorder="1" applyAlignment="1">
      <alignment horizontal="right"/>
    </xf>
    <xf numFmtId="0" fontId="9" fillId="0" borderId="7" xfId="5" applyFont="1" applyBorder="1" applyAlignment="1">
      <alignment wrapText="1"/>
    </xf>
    <xf numFmtId="0" fontId="9" fillId="0" borderId="2" xfId="5" applyFont="1" applyBorder="1"/>
    <xf numFmtId="0" fontId="9" fillId="0" borderId="2" xfId="5" applyFont="1" applyBorder="1" applyAlignment="1">
      <alignment horizontal="left" wrapText="1"/>
    </xf>
    <xf numFmtId="0" fontId="9" fillId="0" borderId="0" xfId="2" applyFont="1" applyBorder="1" applyAlignment="1">
      <alignment wrapText="1"/>
    </xf>
    <xf numFmtId="0" fontId="9" fillId="0" borderId="7" xfId="2" applyFont="1" applyBorder="1" applyAlignment="1">
      <alignment vertical="center"/>
    </xf>
    <xf numFmtId="0" fontId="9" fillId="0" borderId="0" xfId="2" applyFont="1" applyBorder="1" applyAlignment="1">
      <alignment horizontal="right" vertical="center"/>
    </xf>
    <xf numFmtId="0" fontId="14" fillId="0" borderId="0" xfId="2" applyFont="1" applyBorder="1" applyAlignment="1">
      <alignment horizontal="right" vertical="center"/>
    </xf>
    <xf numFmtId="0" fontId="14" fillId="0" borderId="0" xfId="2" applyFont="1" applyBorder="1"/>
    <xf numFmtId="0" fontId="14" fillId="0" borderId="0" xfId="2" applyFont="1" applyBorder="1" applyAlignment="1">
      <alignment horizontal="center"/>
    </xf>
    <xf numFmtId="0" fontId="14" fillId="0" borderId="29" xfId="2" applyFont="1" applyBorder="1" applyAlignment="1">
      <alignment horizontal="center"/>
    </xf>
    <xf numFmtId="0" fontId="14" fillId="0" borderId="29" xfId="2" applyFont="1" applyBorder="1"/>
    <xf numFmtId="3" fontId="14" fillId="0" borderId="0" xfId="2" applyNumberFormat="1" applyFont="1" applyBorder="1" applyAlignment="1">
      <alignment horizontal="right"/>
    </xf>
    <xf numFmtId="0" fontId="14" fillId="0" borderId="38" xfId="2" applyFont="1" applyBorder="1" applyAlignment="1">
      <alignment horizontal="center"/>
    </xf>
    <xf numFmtId="0" fontId="10" fillId="0" borderId="39" xfId="2" applyFont="1" applyBorder="1" applyAlignment="1">
      <alignment horizontal="center"/>
    </xf>
    <xf numFmtId="0" fontId="9" fillId="0" borderId="39" xfId="2" applyFont="1" applyBorder="1"/>
    <xf numFmtId="0" fontId="9" fillId="0" borderId="0" xfId="2" applyFont="1" applyBorder="1" applyAlignment="1">
      <alignment horizontal="right" indent="1"/>
    </xf>
    <xf numFmtId="3" fontId="10" fillId="0" borderId="9" xfId="2" applyNumberFormat="1" applyFont="1" applyBorder="1"/>
    <xf numFmtId="0" fontId="30" fillId="0" borderId="0" xfId="10" applyFont="1"/>
    <xf numFmtId="179" fontId="10" fillId="0" borderId="9" xfId="2" applyNumberFormat="1" applyFont="1" applyBorder="1" applyAlignment="1">
      <alignment horizontal="right" vertical="center"/>
    </xf>
    <xf numFmtId="0" fontId="10" fillId="0" borderId="0" xfId="2" applyFont="1" applyAlignment="1">
      <alignment horizontal="right"/>
    </xf>
    <xf numFmtId="0" fontId="14" fillId="0" borderId="18" xfId="3" applyFont="1" applyBorder="1" applyAlignment="1">
      <alignment horizontal="centerContinuous" vertical="center" wrapText="1"/>
    </xf>
    <xf numFmtId="0" fontId="10" fillId="0" borderId="20" xfId="3" applyFont="1" applyBorder="1" applyAlignment="1">
      <alignment horizontal="centerContinuous" vertical="center" wrapText="1"/>
    </xf>
    <xf numFmtId="0" fontId="10" fillId="0" borderId="19" xfId="3" applyFont="1" applyBorder="1" applyAlignment="1">
      <alignment horizontal="centerContinuous" vertical="center" wrapText="1"/>
    </xf>
    <xf numFmtId="0" fontId="14" fillId="0" borderId="18" xfId="0" applyFont="1" applyBorder="1" applyAlignment="1">
      <alignment horizontal="centerContinuous" vertical="center" wrapText="1"/>
    </xf>
    <xf numFmtId="0" fontId="14" fillId="0" borderId="20" xfId="0" applyFont="1" applyBorder="1" applyAlignment="1">
      <alignment horizontal="centerContinuous" vertical="center" wrapText="1"/>
    </xf>
    <xf numFmtId="0" fontId="14" fillId="0" borderId="19" xfId="0" applyFont="1" applyBorder="1" applyAlignment="1">
      <alignment horizontal="centerContinuous" vertical="center" wrapText="1"/>
    </xf>
    <xf numFmtId="0" fontId="9" fillId="0" borderId="20" xfId="0" applyFont="1" applyBorder="1" applyAlignment="1">
      <alignment horizontal="centerContinuous" vertical="center" wrapText="1"/>
    </xf>
    <xf numFmtId="0" fontId="9" fillId="0" borderId="19" xfId="0" applyFont="1" applyBorder="1" applyAlignment="1">
      <alignment horizontal="centerContinuous" vertical="center" wrapText="1"/>
    </xf>
    <xf numFmtId="0" fontId="9" fillId="0" borderId="8" xfId="0" applyFont="1" applyBorder="1" applyAlignment="1">
      <alignment vertical="center" wrapText="1"/>
    </xf>
    <xf numFmtId="0" fontId="9" fillId="0" borderId="18" xfId="3" applyBorder="1" applyAlignment="1">
      <alignment horizontal="centerContinuous" vertical="center" wrapText="1"/>
    </xf>
    <xf numFmtId="0" fontId="9" fillId="0" borderId="42" xfId="3" applyBorder="1" applyAlignment="1">
      <alignment horizontal="centerContinuous" vertical="center" wrapText="1"/>
    </xf>
    <xf numFmtId="0" fontId="9" fillId="0" borderId="20" xfId="3" applyBorder="1" applyAlignment="1">
      <alignment horizontal="centerContinuous" vertical="center" wrapText="1"/>
    </xf>
    <xf numFmtId="0" fontId="9" fillId="0" borderId="18" xfId="0" applyFont="1" applyBorder="1" applyAlignment="1">
      <alignment horizontal="centerContinuous" vertical="center" wrapText="1"/>
    </xf>
    <xf numFmtId="0" fontId="9" fillId="0" borderId="1" xfId="3" applyBorder="1" applyAlignment="1">
      <alignment horizontal="center" textRotation="90" wrapText="1"/>
    </xf>
    <xf numFmtId="0" fontId="9" fillId="0" borderId="4" xfId="0" applyFont="1" applyBorder="1" applyAlignment="1">
      <alignment horizontal="center" vertical="center"/>
    </xf>
    <xf numFmtId="0" fontId="9" fillId="0" borderId="7" xfId="0" applyFont="1" applyBorder="1" applyAlignment="1">
      <alignment horizontal="center" textRotation="90" wrapText="1"/>
    </xf>
    <xf numFmtId="0" fontId="9" fillId="0" borderId="2" xfId="3" applyBorder="1" applyAlignment="1">
      <alignment horizontal="center" textRotation="90" wrapText="1"/>
    </xf>
    <xf numFmtId="0" fontId="10" fillId="0" borderId="8" xfId="3" applyFont="1" applyBorder="1" applyAlignment="1">
      <alignment horizontal="left"/>
    </xf>
    <xf numFmtId="0" fontId="29" fillId="0" borderId="40" xfId="3" applyFont="1" applyBorder="1" applyAlignment="1">
      <alignment horizontal="center" textRotation="90" wrapText="1"/>
    </xf>
    <xf numFmtId="0" fontId="10" fillId="0" borderId="0" xfId="3" applyFont="1" applyAlignment="1">
      <alignment horizontal="center"/>
    </xf>
    <xf numFmtId="0" fontId="29" fillId="0" borderId="1" xfId="3" applyFont="1" applyBorder="1" applyAlignment="1">
      <alignment horizontal="center" textRotation="90" wrapText="1"/>
    </xf>
    <xf numFmtId="0" fontId="9" fillId="0" borderId="6" xfId="3" applyBorder="1" applyAlignment="1">
      <alignment horizontal="center" textRotation="90" wrapText="1"/>
    </xf>
    <xf numFmtId="0" fontId="10" fillId="0" borderId="3" xfId="3" applyFont="1" applyBorder="1" applyAlignment="1">
      <alignment horizontal="center" vertical="top" wrapText="1"/>
    </xf>
    <xf numFmtId="0" fontId="10" fillId="0" borderId="21" xfId="3" applyFont="1" applyBorder="1" applyAlignment="1">
      <alignment horizontal="center" vertical="top" wrapText="1"/>
    </xf>
    <xf numFmtId="0" fontId="29" fillId="0" borderId="43" xfId="3" applyFont="1" applyBorder="1" applyAlignment="1">
      <alignment horizontal="center" vertical="top" wrapText="1"/>
    </xf>
    <xf numFmtId="0" fontId="10" fillId="0" borderId="21" xfId="0" applyFont="1" applyBorder="1" applyAlignment="1">
      <alignment horizontal="center" vertical="top" wrapText="1"/>
    </xf>
    <xf numFmtId="0" fontId="29" fillId="0" borderId="3" xfId="3" applyFont="1" applyBorder="1" applyAlignment="1">
      <alignment horizontal="center" vertical="top" wrapText="1"/>
    </xf>
    <xf numFmtId="0" fontId="29" fillId="0" borderId="0" xfId="3" applyFont="1"/>
    <xf numFmtId="167" fontId="10" fillId="0" borderId="9" xfId="3" applyNumberFormat="1" applyFont="1" applyBorder="1" applyAlignment="1">
      <alignment horizontal="right" vertical="center"/>
    </xf>
    <xf numFmtId="2" fontId="10" fillId="0" borderId="9" xfId="3" applyNumberFormat="1" applyFont="1" applyBorder="1" applyAlignment="1">
      <alignment horizontal="right" vertical="center"/>
    </xf>
    <xf numFmtId="166" fontId="10" fillId="0" borderId="2" xfId="3" applyNumberFormat="1" applyFont="1" applyBorder="1" applyAlignment="1">
      <alignment horizontal="center" vertical="center"/>
    </xf>
    <xf numFmtId="166" fontId="10" fillId="2" borderId="9" xfId="3" applyNumberFormat="1" applyFont="1" applyFill="1" applyBorder="1" applyAlignment="1">
      <alignment horizontal="right" vertical="center"/>
    </xf>
    <xf numFmtId="166" fontId="10" fillId="2" borderId="18" xfId="3" applyNumberFormat="1" applyFont="1" applyFill="1" applyBorder="1" applyAlignment="1">
      <alignment horizontal="right" vertical="center"/>
    </xf>
    <xf numFmtId="166" fontId="10" fillId="0" borderId="2" xfId="3" applyNumberFormat="1" applyFont="1" applyBorder="1" applyAlignment="1">
      <alignment vertical="center"/>
    </xf>
    <xf numFmtId="9" fontId="10" fillId="0" borderId="9" xfId="0" applyNumberFormat="1" applyFont="1" applyBorder="1" applyAlignment="1">
      <alignment horizontal="right" vertical="center"/>
    </xf>
    <xf numFmtId="167" fontId="10" fillId="0" borderId="9" xfId="3" applyNumberFormat="1" applyFont="1" applyBorder="1" applyAlignment="1">
      <alignment vertical="center"/>
    </xf>
    <xf numFmtId="167" fontId="29" fillId="0" borderId="9" xfId="3" applyNumberFormat="1" applyFont="1" applyBorder="1" applyAlignment="1">
      <alignment vertical="center"/>
    </xf>
    <xf numFmtId="0" fontId="9" fillId="0" borderId="9" xfId="0" applyFont="1" applyBorder="1" applyAlignment="1">
      <alignment vertical="center"/>
    </xf>
    <xf numFmtId="169" fontId="10" fillId="0" borderId="2" xfId="3" applyNumberFormat="1" applyFont="1" applyBorder="1" applyAlignment="1">
      <alignment horizontal="center" vertical="center"/>
    </xf>
    <xf numFmtId="0" fontId="10" fillId="0" borderId="0" xfId="0" applyFont="1" applyAlignment="1">
      <alignment horizontal="right" vertical="center"/>
    </xf>
    <xf numFmtId="0" fontId="11" fillId="0" borderId="0" xfId="0" applyFont="1"/>
    <xf numFmtId="0" fontId="29" fillId="0" borderId="0" xfId="0" applyFont="1" applyAlignment="1">
      <alignment horizontal="right"/>
    </xf>
    <xf numFmtId="0" fontId="10" fillId="4" borderId="0" xfId="3" applyFont="1" applyFill="1"/>
    <xf numFmtId="0" fontId="10" fillId="4" borderId="0" xfId="3" applyFont="1" applyFill="1" applyAlignment="1">
      <alignment horizontal="right"/>
    </xf>
    <xf numFmtId="0" fontId="29" fillId="4" borderId="0" xfId="3" applyFont="1" applyFill="1" applyAlignment="1">
      <alignment horizontal="right"/>
    </xf>
    <xf numFmtId="167" fontId="10" fillId="4" borderId="0" xfId="3" applyNumberFormat="1" applyFont="1" applyFill="1" applyAlignment="1">
      <alignment horizontal="right"/>
    </xf>
    <xf numFmtId="0" fontId="10" fillId="4" borderId="0" xfId="0" applyFont="1" applyFill="1" applyAlignment="1">
      <alignment horizontal="right"/>
    </xf>
    <xf numFmtId="0" fontId="11" fillId="4" borderId="0" xfId="0" applyFont="1" applyFill="1"/>
    <xf numFmtId="0" fontId="29" fillId="4" borderId="0" xfId="0" applyFont="1" applyFill="1" applyAlignment="1">
      <alignment horizontal="right"/>
    </xf>
    <xf numFmtId="0" fontId="10" fillId="0" borderId="0" xfId="3" applyFont="1" applyAlignment="1">
      <alignment horizontal="right"/>
    </xf>
    <xf numFmtId="0" fontId="29" fillId="0" borderId="0" xfId="3" applyFont="1" applyAlignment="1">
      <alignment horizontal="right"/>
    </xf>
    <xf numFmtId="167" fontId="10" fillId="0" borderId="0" xfId="3" applyNumberFormat="1" applyFont="1" applyAlignment="1">
      <alignment horizontal="right"/>
    </xf>
    <xf numFmtId="167" fontId="10" fillId="0" borderId="2" xfId="3" applyNumberFormat="1" applyFont="1" applyBorder="1" applyAlignment="1">
      <alignment horizontal="right" vertical="center"/>
    </xf>
    <xf numFmtId="167" fontId="10" fillId="0" borderId="2" xfId="3" applyNumberFormat="1" applyFont="1" applyBorder="1" applyAlignment="1">
      <alignment vertical="center"/>
    </xf>
    <xf numFmtId="9" fontId="10" fillId="0" borderId="9" xfId="4" applyNumberFormat="1" applyFont="1" applyBorder="1" applyAlignment="1">
      <alignment vertical="center"/>
    </xf>
    <xf numFmtId="0" fontId="10" fillId="5" borderId="0" xfId="3" applyFont="1" applyFill="1"/>
    <xf numFmtId="0" fontId="10" fillId="5" borderId="0" xfId="3" applyFont="1" applyFill="1" applyAlignment="1">
      <alignment horizontal="right"/>
    </xf>
    <xf numFmtId="0" fontId="29" fillId="5" borderId="0" xfId="3" applyFont="1" applyFill="1" applyAlignment="1">
      <alignment horizontal="right"/>
    </xf>
    <xf numFmtId="167" fontId="10" fillId="5" borderId="0" xfId="3" applyNumberFormat="1" applyFont="1" applyFill="1" applyAlignment="1">
      <alignment horizontal="right"/>
    </xf>
    <xf numFmtId="0" fontId="10" fillId="5" borderId="0" xfId="0" applyFont="1" applyFill="1" applyAlignment="1">
      <alignment horizontal="right"/>
    </xf>
    <xf numFmtId="0" fontId="11" fillId="5" borderId="0" xfId="0" applyFont="1" applyFill="1"/>
    <xf numFmtId="0" fontId="29" fillId="5" borderId="0" xfId="0" applyFont="1" applyFill="1" applyAlignment="1">
      <alignment horizontal="right"/>
    </xf>
    <xf numFmtId="169" fontId="29" fillId="0" borderId="9" xfId="3" applyNumberFormat="1" applyFont="1" applyBorder="1" applyAlignment="1">
      <alignment horizontal="right" vertical="center"/>
    </xf>
    <xf numFmtId="170" fontId="10" fillId="0" borderId="9" xfId="3" applyNumberFormat="1" applyFont="1" applyBorder="1" applyAlignment="1">
      <alignment horizontal="right" vertical="center"/>
    </xf>
    <xf numFmtId="0" fontId="10" fillId="0" borderId="0" xfId="0" applyFont="1" applyBorder="1"/>
    <xf numFmtId="0" fontId="12" fillId="0" borderId="0" xfId="0" applyFont="1"/>
    <xf numFmtId="0" fontId="13" fillId="0" borderId="0" xfId="0" applyFont="1" applyAlignment="1">
      <alignment vertical="center"/>
    </xf>
    <xf numFmtId="0" fontId="9" fillId="0" borderId="9" xfId="4" applyFont="1" applyBorder="1" applyAlignment="1">
      <alignment vertical="center"/>
    </xf>
    <xf numFmtId="0" fontId="23" fillId="0" borderId="39" xfId="2" applyFont="1" applyBorder="1" applyAlignment="1">
      <alignment horizontal="center"/>
    </xf>
    <xf numFmtId="0" fontId="22" fillId="0" borderId="6" xfId="3" applyFont="1" applyBorder="1" applyAlignment="1">
      <alignment textRotation="90"/>
    </xf>
    <xf numFmtId="0" fontId="22" fillId="0" borderId="8" xfId="3" applyFont="1" applyBorder="1" applyAlignment="1">
      <alignment textRotation="90"/>
    </xf>
    <xf numFmtId="0" fontId="22" fillId="0" borderId="17" xfId="3" applyFont="1" applyBorder="1" applyAlignment="1">
      <alignment textRotation="90"/>
    </xf>
    <xf numFmtId="9" fontId="10" fillId="0" borderId="9" xfId="19" applyFont="1" applyFill="1" applyBorder="1" applyAlignment="1" applyProtection="1">
      <alignment vertical="center"/>
    </xf>
    <xf numFmtId="0" fontId="14" fillId="0" borderId="14" xfId="2" applyFont="1" applyBorder="1"/>
    <xf numFmtId="9" fontId="10" fillId="0" borderId="18" xfId="19" applyFont="1" applyFill="1" applyBorder="1" applyAlignment="1" applyProtection="1">
      <alignment vertical="center"/>
    </xf>
    <xf numFmtId="0" fontId="10" fillId="0" borderId="19" xfId="2" applyFont="1" applyBorder="1"/>
    <xf numFmtId="0" fontId="9" fillId="0" borderId="19" xfId="2" applyFont="1" applyBorder="1" applyAlignment="1">
      <alignment vertical="center"/>
    </xf>
    <xf numFmtId="165" fontId="12" fillId="0" borderId="0" xfId="2" applyNumberFormat="1" applyFont="1" applyBorder="1" applyAlignment="1">
      <alignment horizontal="left" vertical="center"/>
    </xf>
    <xf numFmtId="9" fontId="12" fillId="0" borderId="0" xfId="2" applyNumberFormat="1" applyFont="1" applyBorder="1" applyAlignment="1">
      <alignment horizontal="left" vertical="center"/>
    </xf>
    <xf numFmtId="0" fontId="12" fillId="0" borderId="0" xfId="2" applyFont="1" applyBorder="1" applyAlignment="1">
      <alignment horizontal="left" vertical="center"/>
    </xf>
    <xf numFmtId="168" fontId="14" fillId="0" borderId="27" xfId="2" applyNumberFormat="1" applyFont="1" applyBorder="1" applyAlignment="1">
      <alignment vertical="center"/>
    </xf>
    <xf numFmtId="0" fontId="12" fillId="0" borderId="0" xfId="2" applyFont="1" applyBorder="1" applyAlignment="1">
      <alignment horizontal="center" wrapText="1"/>
    </xf>
    <xf numFmtId="0" fontId="15" fillId="0" borderId="0" xfId="2" applyFont="1" applyBorder="1" applyAlignment="1">
      <alignment horizontal="center" wrapText="1"/>
    </xf>
    <xf numFmtId="3" fontId="14" fillId="0" borderId="33" xfId="2" applyNumberFormat="1" applyFont="1" applyBorder="1" applyAlignment="1">
      <alignment horizontal="right"/>
    </xf>
    <xf numFmtId="0" fontId="10" fillId="0" borderId="41" xfId="2" applyFont="1" applyBorder="1"/>
    <xf numFmtId="0" fontId="10" fillId="0" borderId="39" xfId="2" applyFont="1" applyBorder="1"/>
    <xf numFmtId="3" fontId="10" fillId="0" borderId="18" xfId="2" applyNumberFormat="1" applyFont="1" applyBorder="1" applyAlignment="1">
      <alignment horizontal="right"/>
    </xf>
    <xf numFmtId="3" fontId="10" fillId="0" borderId="18" xfId="2" applyNumberFormat="1" applyFont="1" applyBorder="1" applyAlignment="1">
      <alignment vertical="center"/>
    </xf>
    <xf numFmtId="180" fontId="10" fillId="0" borderId="9" xfId="2" applyNumberFormat="1" applyFont="1" applyBorder="1" applyAlignment="1">
      <alignment horizontal="right" vertical="center"/>
    </xf>
    <xf numFmtId="181" fontId="10" fillId="0" borderId="9" xfId="2" applyNumberFormat="1" applyFont="1" applyBorder="1" applyAlignment="1">
      <alignment horizontal="right" vertical="center"/>
    </xf>
    <xf numFmtId="0" fontId="9" fillId="0" borderId="0" xfId="2" applyFont="1" applyBorder="1" applyAlignment="1">
      <alignment horizontal="center" wrapText="1"/>
    </xf>
    <xf numFmtId="3" fontId="10" fillId="0" borderId="0" xfId="2" applyNumberFormat="1" applyFont="1" applyBorder="1" applyAlignment="1">
      <alignment horizontal="right"/>
    </xf>
    <xf numFmtId="3" fontId="10" fillId="0" borderId="0" xfId="2" applyNumberFormat="1" applyFont="1" applyBorder="1" applyAlignment="1" applyProtection="1">
      <alignment horizontal="right"/>
      <protection locked="0"/>
    </xf>
    <xf numFmtId="3" fontId="14" fillId="0" borderId="45" xfId="2" applyNumberFormat="1" applyFont="1" applyBorder="1" applyAlignment="1">
      <alignment horizontal="right"/>
    </xf>
    <xf numFmtId="0" fontId="10" fillId="6" borderId="0" xfId="2" applyFont="1" applyFill="1" applyAlignment="1">
      <alignment vertical="center"/>
    </xf>
    <xf numFmtId="0" fontId="9" fillId="6" borderId="0" xfId="2" applyFont="1" applyFill="1" applyAlignment="1" applyProtection="1">
      <alignment vertical="center"/>
      <protection locked="0"/>
    </xf>
    <xf numFmtId="0" fontId="10" fillId="6" borderId="0" xfId="2" applyFont="1" applyFill="1" applyBorder="1" applyAlignment="1">
      <alignment vertical="center"/>
    </xf>
    <xf numFmtId="0" fontId="14" fillId="6" borderId="0" xfId="2" applyFont="1" applyFill="1" applyBorder="1" applyAlignment="1">
      <alignment horizontal="left" vertical="center"/>
    </xf>
    <xf numFmtId="164" fontId="10" fillId="4" borderId="9" xfId="2" applyNumberFormat="1" applyFont="1" applyFill="1" applyBorder="1" applyAlignment="1" applyProtection="1">
      <alignment vertical="center"/>
      <protection locked="0"/>
    </xf>
    <xf numFmtId="9" fontId="10" fillId="4" borderId="9" xfId="2" applyNumberFormat="1" applyFont="1" applyFill="1" applyBorder="1" applyAlignment="1" applyProtection="1">
      <alignment vertical="center"/>
      <protection locked="0"/>
    </xf>
    <xf numFmtId="168" fontId="10" fillId="4" borderId="10" xfId="2" applyNumberFormat="1" applyFont="1" applyFill="1" applyBorder="1" applyAlignment="1" applyProtection="1">
      <alignment horizontal="right" vertical="center"/>
      <protection locked="0"/>
    </xf>
    <xf numFmtId="168" fontId="10" fillId="4" borderId="11" xfId="2" applyNumberFormat="1" applyFont="1" applyFill="1" applyBorder="1" applyAlignment="1" applyProtection="1">
      <alignment horizontal="right" vertical="center"/>
      <protection locked="0"/>
    </xf>
    <xf numFmtId="168" fontId="10" fillId="4" borderId="13" xfId="2" applyNumberFormat="1" applyFont="1" applyFill="1" applyBorder="1" applyAlignment="1" applyProtection="1">
      <alignment horizontal="right" vertical="center"/>
      <protection locked="0"/>
    </xf>
    <xf numFmtId="3" fontId="10" fillId="4" borderId="9" xfId="2" applyNumberFormat="1" applyFont="1" applyFill="1" applyBorder="1" applyProtection="1">
      <protection locked="0"/>
    </xf>
    <xf numFmtId="0" fontId="10" fillId="4" borderId="9" xfId="2" applyFont="1" applyFill="1" applyBorder="1" applyAlignment="1" applyProtection="1">
      <alignment vertical="center"/>
      <protection locked="0"/>
    </xf>
    <xf numFmtId="0" fontId="10" fillId="4" borderId="1" xfId="2" applyFont="1" applyFill="1" applyBorder="1" applyAlignment="1" applyProtection="1">
      <alignment vertical="center"/>
      <protection locked="0"/>
    </xf>
    <xf numFmtId="3" fontId="10" fillId="4" borderId="4" xfId="2" applyNumberFormat="1" applyFont="1" applyFill="1" applyBorder="1" applyAlignment="1" applyProtection="1">
      <alignment horizontal="right"/>
      <protection locked="0"/>
    </xf>
    <xf numFmtId="3" fontId="10" fillId="4" borderId="1" xfId="2" applyNumberFormat="1" applyFont="1" applyFill="1" applyBorder="1" applyAlignment="1" applyProtection="1">
      <alignment horizontal="right"/>
      <protection locked="0"/>
    </xf>
    <xf numFmtId="0" fontId="10" fillId="6" borderId="29" xfId="2" applyFont="1" applyFill="1" applyBorder="1" applyAlignment="1">
      <alignment vertical="center"/>
    </xf>
    <xf numFmtId="0" fontId="10" fillId="6" borderId="29" xfId="2" applyFont="1" applyFill="1" applyBorder="1" applyAlignment="1">
      <alignment horizontal="right"/>
    </xf>
    <xf numFmtId="0" fontId="10" fillId="6" borderId="29" xfId="2" applyFont="1" applyFill="1" applyBorder="1"/>
    <xf numFmtId="0" fontId="10" fillId="6" borderId="29" xfId="2" applyFont="1" applyFill="1" applyBorder="1" applyAlignment="1">
      <alignment horizontal="center"/>
    </xf>
    <xf numFmtId="0" fontId="10" fillId="6" borderId="44" xfId="2" applyFont="1" applyFill="1" applyBorder="1"/>
    <xf numFmtId="0" fontId="10" fillId="6" borderId="44" xfId="2" applyFont="1" applyFill="1" applyBorder="1" applyAlignment="1">
      <alignment horizontal="right"/>
    </xf>
    <xf numFmtId="0" fontId="10" fillId="6" borderId="44" xfId="2" applyFont="1" applyFill="1" applyBorder="1" applyAlignment="1">
      <alignment horizontal="center"/>
    </xf>
    <xf numFmtId="0" fontId="10" fillId="6" borderId="44" xfId="2" applyFont="1" applyFill="1" applyBorder="1" applyAlignment="1">
      <alignment vertical="center"/>
    </xf>
    <xf numFmtId="2" fontId="10" fillId="6" borderId="44" xfId="2" applyNumberFormat="1" applyFont="1" applyFill="1" applyBorder="1" applyAlignment="1">
      <alignment horizontal="right" vertical="center"/>
    </xf>
    <xf numFmtId="0" fontId="14" fillId="6" borderId="0" xfId="2" applyFont="1" applyFill="1"/>
    <xf numFmtId="0" fontId="10" fillId="6" borderId="0" xfId="2" applyFont="1" applyFill="1"/>
    <xf numFmtId="0" fontId="10" fillId="6" borderId="0" xfId="2" applyFont="1" applyFill="1" applyAlignment="1">
      <alignment horizontal="center"/>
    </xf>
    <xf numFmtId="165" fontId="9" fillId="6" borderId="9" xfId="2" applyNumberFormat="1" applyFont="1" applyFill="1" applyBorder="1" applyAlignment="1" applyProtection="1">
      <alignment vertical="center"/>
      <protection locked="0"/>
    </xf>
    <xf numFmtId="1" fontId="10" fillId="6" borderId="9" xfId="2" applyNumberFormat="1" applyFont="1" applyFill="1" applyBorder="1" applyAlignment="1" applyProtection="1">
      <alignment vertical="center"/>
      <protection locked="0"/>
    </xf>
    <xf numFmtId="2" fontId="10" fillId="6" borderId="9" xfId="2" applyNumberFormat="1" applyFont="1" applyFill="1" applyBorder="1" applyAlignment="1" applyProtection="1">
      <alignment vertical="center"/>
      <protection locked="0"/>
    </xf>
    <xf numFmtId="9" fontId="10" fillId="6" borderId="9" xfId="19" applyFont="1" applyFill="1" applyBorder="1" applyAlignment="1" applyProtection="1">
      <alignment vertical="center"/>
      <protection locked="0"/>
    </xf>
    <xf numFmtId="165" fontId="10" fillId="6" borderId="9" xfId="2" applyNumberFormat="1" applyFont="1" applyFill="1" applyBorder="1" applyAlignment="1" applyProtection="1">
      <alignment vertical="center"/>
      <protection locked="0"/>
    </xf>
    <xf numFmtId="165" fontId="9" fillId="6" borderId="37" xfId="2" applyNumberFormat="1" applyFont="1" applyFill="1" applyBorder="1" applyAlignment="1" applyProtection="1">
      <alignment vertical="center"/>
      <protection locked="0"/>
    </xf>
    <xf numFmtId="165" fontId="10" fillId="6" borderId="37" xfId="2" applyNumberFormat="1" applyFont="1" applyFill="1" applyBorder="1" applyAlignment="1" applyProtection="1">
      <alignment vertical="center"/>
      <protection locked="0"/>
    </xf>
    <xf numFmtId="0" fontId="16" fillId="0" borderId="16" xfId="2" applyFont="1" applyBorder="1"/>
    <xf numFmtId="0" fontId="9" fillId="5" borderId="0" xfId="3" applyFill="1"/>
    <xf numFmtId="0" fontId="10" fillId="0" borderId="1" xfId="0" applyFont="1" applyBorder="1" applyAlignment="1">
      <alignment horizontal="center" vertical="center" wrapText="1"/>
    </xf>
    <xf numFmtId="0" fontId="10" fillId="0" borderId="2" xfId="0" applyFont="1" applyBorder="1" applyAlignment="1">
      <alignment horizontal="center" textRotation="90" wrapText="1"/>
    </xf>
    <xf numFmtId="0" fontId="9" fillId="7" borderId="0" xfId="2" applyFont="1" applyFill="1" applyAlignment="1" applyProtection="1">
      <alignment vertical="center"/>
      <protection locked="0"/>
    </xf>
    <xf numFmtId="0" fontId="10" fillId="7" borderId="0" xfId="2" applyFont="1" applyFill="1" applyBorder="1" applyAlignment="1">
      <alignment vertical="center"/>
    </xf>
    <xf numFmtId="0" fontId="14" fillId="7" borderId="0" xfId="2" applyFont="1" applyFill="1" applyBorder="1" applyAlignment="1">
      <alignment horizontal="left" vertical="center"/>
    </xf>
    <xf numFmtId="0" fontId="10" fillId="7" borderId="29" xfId="2" applyFont="1" applyFill="1" applyBorder="1" applyAlignment="1">
      <alignment vertical="center"/>
    </xf>
    <xf numFmtId="0" fontId="10" fillId="7" borderId="29" xfId="2" applyFont="1" applyFill="1" applyBorder="1" applyAlignment="1">
      <alignment horizontal="right"/>
    </xf>
    <xf numFmtId="0" fontId="10" fillId="7" borderId="29" xfId="2" applyFont="1" applyFill="1" applyBorder="1"/>
    <xf numFmtId="0" fontId="10" fillId="7" borderId="29" xfId="2" applyFont="1" applyFill="1" applyBorder="1" applyAlignment="1">
      <alignment horizontal="center"/>
    </xf>
    <xf numFmtId="0" fontId="10" fillId="7" borderId="44" xfId="2" applyFont="1" applyFill="1" applyBorder="1"/>
    <xf numFmtId="0" fontId="10" fillId="7" borderId="44" xfId="2" applyFont="1" applyFill="1" applyBorder="1" applyAlignment="1">
      <alignment horizontal="right"/>
    </xf>
    <xf numFmtId="0" fontId="10" fillId="7" borderId="44" xfId="2" applyFont="1" applyFill="1" applyBorder="1" applyAlignment="1">
      <alignment horizontal="center"/>
    </xf>
    <xf numFmtId="0" fontId="10" fillId="7" borderId="44" xfId="2" applyFont="1" applyFill="1" applyBorder="1" applyAlignment="1">
      <alignment vertical="center"/>
    </xf>
    <xf numFmtId="2" fontId="10" fillId="7" borderId="44" xfId="2" applyNumberFormat="1" applyFont="1" applyFill="1" applyBorder="1" applyAlignment="1">
      <alignment horizontal="right" vertical="center"/>
    </xf>
    <xf numFmtId="0" fontId="14" fillId="7" borderId="0" xfId="2" applyFont="1" applyFill="1"/>
    <xf numFmtId="0" fontId="10" fillId="7" borderId="0" xfId="2" applyFont="1" applyFill="1"/>
    <xf numFmtId="0" fontId="10" fillId="7" borderId="0" xfId="2" applyFont="1" applyFill="1" applyAlignment="1">
      <alignment horizontal="center"/>
    </xf>
    <xf numFmtId="165" fontId="9" fillId="7" borderId="9" xfId="2" applyNumberFormat="1" applyFont="1" applyFill="1" applyBorder="1" applyAlignment="1" applyProtection="1">
      <alignment vertical="center"/>
      <protection locked="0"/>
    </xf>
    <xf numFmtId="1" fontId="10" fillId="7" borderId="9" xfId="2" applyNumberFormat="1" applyFont="1" applyFill="1" applyBorder="1" applyAlignment="1" applyProtection="1">
      <alignment vertical="center"/>
      <protection locked="0"/>
    </xf>
    <xf numFmtId="2" fontId="10" fillId="7" borderId="9" xfId="2" applyNumberFormat="1" applyFont="1" applyFill="1" applyBorder="1" applyAlignment="1" applyProtection="1">
      <alignment vertical="center"/>
      <protection locked="0"/>
    </xf>
    <xf numFmtId="9" fontId="10" fillId="7" borderId="9" xfId="19" applyFont="1" applyFill="1" applyBorder="1" applyAlignment="1" applyProtection="1">
      <alignment vertical="center"/>
      <protection locked="0"/>
    </xf>
    <xf numFmtId="165" fontId="10" fillId="7" borderId="9" xfId="2" applyNumberFormat="1" applyFont="1" applyFill="1" applyBorder="1" applyAlignment="1" applyProtection="1">
      <alignment vertical="center"/>
      <protection locked="0"/>
    </xf>
    <xf numFmtId="165" fontId="9" fillId="7" borderId="37" xfId="2" applyNumberFormat="1" applyFont="1" applyFill="1" applyBorder="1" applyAlignment="1" applyProtection="1">
      <alignment vertical="center"/>
      <protection locked="0"/>
    </xf>
    <xf numFmtId="165" fontId="10" fillId="7" borderId="37" xfId="2" applyNumberFormat="1" applyFont="1" applyFill="1" applyBorder="1" applyAlignment="1" applyProtection="1">
      <alignment vertical="center"/>
      <protection locked="0"/>
    </xf>
    <xf numFmtId="168" fontId="10" fillId="5" borderId="10" xfId="2" applyNumberFormat="1" applyFont="1" applyFill="1" applyBorder="1" applyAlignment="1" applyProtection="1">
      <alignment horizontal="right" vertical="center"/>
      <protection locked="0"/>
    </xf>
    <xf numFmtId="168" fontId="10" fillId="5" borderId="11" xfId="2" applyNumberFormat="1" applyFont="1" applyFill="1" applyBorder="1" applyAlignment="1" applyProtection="1">
      <alignment horizontal="right" vertical="center"/>
      <protection locked="0"/>
    </xf>
    <xf numFmtId="168" fontId="10" fillId="5" borderId="13" xfId="2" applyNumberFormat="1" applyFont="1" applyFill="1" applyBorder="1" applyAlignment="1" applyProtection="1">
      <alignment horizontal="right" vertical="center"/>
      <protection locked="0"/>
    </xf>
    <xf numFmtId="164" fontId="10" fillId="5" borderId="9" xfId="2" applyNumberFormat="1" applyFont="1" applyFill="1" applyBorder="1" applyAlignment="1" applyProtection="1">
      <alignment vertical="center"/>
      <protection locked="0"/>
    </xf>
    <xf numFmtId="9" fontId="10" fillId="5" borderId="9" xfId="2" applyNumberFormat="1" applyFont="1" applyFill="1" applyBorder="1" applyAlignment="1" applyProtection="1">
      <alignment vertical="center"/>
      <protection locked="0"/>
    </xf>
    <xf numFmtId="3" fontId="10" fillId="5" borderId="9" xfId="2" applyNumberFormat="1" applyFont="1" applyFill="1" applyBorder="1" applyProtection="1">
      <protection locked="0"/>
    </xf>
    <xf numFmtId="0" fontId="10" fillId="5" borderId="9" xfId="2" applyFont="1" applyFill="1" applyBorder="1" applyAlignment="1" applyProtection="1">
      <alignment vertical="center"/>
      <protection locked="0"/>
    </xf>
    <xf numFmtId="0" fontId="10" fillId="5" borderId="1" xfId="2" applyFont="1" applyFill="1" applyBorder="1" applyAlignment="1" applyProtection="1">
      <alignment vertical="center"/>
      <protection locked="0"/>
    </xf>
    <xf numFmtId="3" fontId="10" fillId="5" borderId="4" xfId="2" applyNumberFormat="1" applyFont="1" applyFill="1" applyBorder="1" applyAlignment="1" applyProtection="1">
      <alignment horizontal="right"/>
      <protection locked="0"/>
    </xf>
    <xf numFmtId="3" fontId="10" fillId="5" borderId="1" xfId="2" applyNumberFormat="1" applyFont="1" applyFill="1" applyBorder="1" applyAlignment="1" applyProtection="1">
      <alignment horizontal="right"/>
      <protection locked="0"/>
    </xf>
    <xf numFmtId="0" fontId="9" fillId="4" borderId="0" xfId="3" applyFill="1"/>
    <xf numFmtId="0" fontId="20" fillId="0" borderId="31" xfId="3" applyFont="1" applyBorder="1" applyAlignment="1">
      <alignment vertical="center"/>
    </xf>
    <xf numFmtId="0" fontId="20" fillId="0" borderId="34" xfId="3" applyFont="1" applyBorder="1" applyAlignment="1">
      <alignment vertical="center"/>
    </xf>
    <xf numFmtId="3" fontId="20" fillId="0" borderId="25" xfId="3" applyNumberFormat="1" applyFont="1" applyBorder="1" applyAlignment="1">
      <alignment vertical="center"/>
    </xf>
    <xf numFmtId="3" fontId="20" fillId="0" borderId="26" xfId="3" applyNumberFormat="1" applyFont="1" applyBorder="1" applyAlignment="1">
      <alignment vertical="center"/>
    </xf>
    <xf numFmtId="168" fontId="20" fillId="0" borderId="27" xfId="3" applyNumberFormat="1" applyFont="1" applyBorder="1" applyAlignment="1">
      <alignment vertical="center"/>
    </xf>
    <xf numFmtId="0" fontId="9" fillId="0" borderId="9" xfId="0" applyFont="1" applyBorder="1" applyAlignment="1">
      <alignment vertical="center" wrapText="1"/>
    </xf>
    <xf numFmtId="171" fontId="10" fillId="0" borderId="9" xfId="3" applyNumberFormat="1" applyFont="1" applyBorder="1" applyAlignment="1">
      <alignment horizontal="right" vertical="center"/>
    </xf>
    <xf numFmtId="168" fontId="10" fillId="2" borderId="36" xfId="2" applyNumberFormat="1" applyFont="1" applyFill="1" applyBorder="1" applyAlignment="1">
      <alignment vertical="center"/>
    </xf>
    <xf numFmtId="0" fontId="9" fillId="0" borderId="0" xfId="10" applyFont="1" applyAlignment="1">
      <alignment vertical="center"/>
    </xf>
    <xf numFmtId="0" fontId="9" fillId="0" borderId="0" xfId="10" applyFont="1" applyBorder="1" applyAlignment="1">
      <alignment vertical="center"/>
    </xf>
    <xf numFmtId="0" fontId="9" fillId="0" borderId="0" xfId="10" applyFont="1"/>
    <xf numFmtId="0" fontId="9" fillId="3" borderId="0" xfId="10" applyFont="1" applyFill="1" applyBorder="1" applyAlignment="1">
      <alignment horizontal="right" indent="1"/>
    </xf>
    <xf numFmtId="172" fontId="14" fillId="0" borderId="9" xfId="10" applyNumberFormat="1" applyFont="1" applyBorder="1" applyAlignment="1">
      <alignment vertical="center"/>
    </xf>
    <xf numFmtId="0" fontId="9" fillId="0" borderId="0" xfId="10" applyFont="1" applyBorder="1" applyAlignment="1">
      <alignment horizontal="right" vertical="center" indent="1"/>
    </xf>
    <xf numFmtId="172" fontId="14" fillId="0" borderId="14" xfId="10" applyNumberFormat="1" applyFont="1" applyBorder="1" applyAlignment="1">
      <alignment vertical="center"/>
    </xf>
    <xf numFmtId="172" fontId="10" fillId="0" borderId="1" xfId="10" applyNumberFormat="1" applyFont="1" applyBorder="1" applyAlignment="1">
      <alignment vertical="center"/>
    </xf>
    <xf numFmtId="165" fontId="10" fillId="0" borderId="0" xfId="10" applyNumberFormat="1" applyFont="1" applyBorder="1" applyAlignment="1">
      <alignment horizontal="left" vertical="center"/>
    </xf>
    <xf numFmtId="9" fontId="10" fillId="0" borderId="0" xfId="10" applyNumberFormat="1" applyFont="1" applyBorder="1" applyAlignment="1">
      <alignment horizontal="left" vertical="center"/>
    </xf>
    <xf numFmtId="166" fontId="9" fillId="0" borderId="0" xfId="10" applyNumberFormat="1" applyFont="1" applyBorder="1" applyAlignment="1">
      <alignment horizontal="right" vertical="center"/>
    </xf>
    <xf numFmtId="166" fontId="9" fillId="0" borderId="8" xfId="10" applyNumberFormat="1" applyFont="1" applyBorder="1" applyAlignment="1">
      <alignment horizontal="right" vertical="center"/>
    </xf>
    <xf numFmtId="1" fontId="14" fillId="0" borderId="0" xfId="2" applyNumberFormat="1" applyFont="1" applyBorder="1" applyAlignment="1">
      <alignment horizontal="right" vertical="center"/>
    </xf>
    <xf numFmtId="0" fontId="35" fillId="0" borderId="0" xfId="10" applyFont="1" applyBorder="1" applyAlignment="1">
      <alignment horizontal="left" vertical="center"/>
    </xf>
    <xf numFmtId="0" fontId="9" fillId="0" borderId="0" xfId="10" applyFont="1" applyBorder="1"/>
    <xf numFmtId="168" fontId="9" fillId="0" borderId="0" xfId="10" applyNumberFormat="1" applyFont="1" applyBorder="1" applyAlignment="1">
      <alignment vertical="center"/>
    </xf>
    <xf numFmtId="0" fontId="10" fillId="9" borderId="29" xfId="2" applyFont="1" applyFill="1" applyBorder="1" applyAlignment="1">
      <alignment vertical="center"/>
    </xf>
    <xf numFmtId="0" fontId="10" fillId="9" borderId="29" xfId="2" applyFont="1" applyFill="1" applyBorder="1" applyAlignment="1">
      <alignment horizontal="right"/>
    </xf>
    <xf numFmtId="0" fontId="10" fillId="9" borderId="29" xfId="2" applyFont="1" applyFill="1" applyBorder="1"/>
    <xf numFmtId="0" fontId="10" fillId="9" borderId="29" xfId="2" applyFont="1" applyFill="1" applyBorder="1" applyAlignment="1">
      <alignment horizontal="center"/>
    </xf>
    <xf numFmtId="0" fontId="10" fillId="9" borderId="44" xfId="2" applyFont="1" applyFill="1" applyBorder="1"/>
    <xf numFmtId="0" fontId="10" fillId="9" borderId="44" xfId="2" applyFont="1" applyFill="1" applyBorder="1" applyAlignment="1">
      <alignment horizontal="right"/>
    </xf>
    <xf numFmtId="0" fontId="10" fillId="9" borderId="44" xfId="2" applyFont="1" applyFill="1" applyBorder="1" applyAlignment="1">
      <alignment horizontal="center"/>
    </xf>
    <xf numFmtId="0" fontId="10" fillId="9" borderId="44" xfId="2" applyFont="1" applyFill="1" applyBorder="1" applyAlignment="1">
      <alignment vertical="center"/>
    </xf>
    <xf numFmtId="2" fontId="10" fillId="9" borderId="44" xfId="2" applyNumberFormat="1" applyFont="1" applyFill="1" applyBorder="1" applyAlignment="1">
      <alignment horizontal="right" vertical="center"/>
    </xf>
    <xf numFmtId="172" fontId="10" fillId="10" borderId="9" xfId="10" applyNumberFormat="1" applyFont="1" applyFill="1" applyBorder="1" applyAlignment="1" applyProtection="1">
      <alignment vertical="center"/>
      <protection locked="0"/>
    </xf>
    <xf numFmtId="168" fontId="10" fillId="10" borderId="9" xfId="10" applyNumberFormat="1" applyFont="1" applyFill="1" applyBorder="1" applyAlignment="1" applyProtection="1">
      <alignment vertical="center"/>
      <protection locked="0"/>
    </xf>
    <xf numFmtId="0" fontId="10" fillId="10" borderId="9" xfId="10" applyFont="1" applyFill="1" applyBorder="1" applyAlignment="1" applyProtection="1">
      <alignment vertical="center"/>
      <protection locked="0"/>
    </xf>
    <xf numFmtId="0" fontId="14" fillId="10" borderId="0" xfId="3" applyFont="1" applyFill="1" applyAlignment="1">
      <alignment vertical="center"/>
    </xf>
    <xf numFmtId="0" fontId="9" fillId="10" borderId="0" xfId="3" applyFill="1"/>
    <xf numFmtId="0" fontId="14" fillId="9" borderId="0" xfId="10" applyFont="1" applyFill="1" applyBorder="1" applyAlignment="1">
      <alignment horizontal="left" vertical="center"/>
    </xf>
    <xf numFmtId="0" fontId="9" fillId="9" borderId="0" xfId="10" applyFont="1" applyFill="1" applyAlignment="1" applyProtection="1">
      <alignment vertical="center"/>
      <protection locked="0"/>
    </xf>
    <xf numFmtId="0" fontId="9" fillId="0" borderId="18" xfId="0" applyFont="1" applyBorder="1" applyAlignment="1">
      <alignment horizontal="left" vertical="center"/>
    </xf>
    <xf numFmtId="0" fontId="9" fillId="0" borderId="19" xfId="0" applyFont="1" applyBorder="1" applyAlignment="1">
      <alignment horizontal="left" vertical="center"/>
    </xf>
    <xf numFmtId="168" fontId="9" fillId="10" borderId="10" xfId="2" applyNumberFormat="1" applyFont="1" applyFill="1" applyBorder="1" applyAlignment="1" applyProtection="1">
      <alignment horizontal="right" vertical="center"/>
      <protection locked="0"/>
    </xf>
    <xf numFmtId="168" fontId="9" fillId="10" borderId="11" xfId="2" applyNumberFormat="1" applyFont="1" applyFill="1" applyBorder="1" applyAlignment="1" applyProtection="1">
      <alignment horizontal="right" vertical="center"/>
      <protection locked="0"/>
    </xf>
    <xf numFmtId="168" fontId="9" fillId="10" borderId="13" xfId="2" applyNumberFormat="1" applyFont="1" applyFill="1" applyBorder="1" applyAlignment="1" applyProtection="1">
      <alignment horizontal="right" vertical="center"/>
      <protection locked="0"/>
    </xf>
    <xf numFmtId="164" fontId="9" fillId="0" borderId="0" xfId="10" applyNumberFormat="1" applyFont="1" applyBorder="1" applyAlignment="1">
      <alignment horizontal="right" vertical="center"/>
    </xf>
    <xf numFmtId="0" fontId="14" fillId="0" borderId="0" xfId="10" applyFont="1" applyBorder="1" applyAlignment="1">
      <alignment horizontal="right" vertical="center" indent="1"/>
    </xf>
    <xf numFmtId="0" fontId="10" fillId="0" borderId="29" xfId="10" applyFont="1" applyBorder="1" applyAlignment="1">
      <alignment vertical="center"/>
    </xf>
    <xf numFmtId="0" fontId="10" fillId="0" borderId="32" xfId="2" applyFont="1" applyBorder="1"/>
    <xf numFmtId="0" fontId="15" fillId="0" borderId="32" xfId="2" applyFont="1" applyBorder="1" applyAlignment="1">
      <alignment vertical="center"/>
    </xf>
    <xf numFmtId="0" fontId="12" fillId="0" borderId="32" xfId="2" applyFont="1" applyBorder="1" applyAlignment="1">
      <alignment vertical="center"/>
    </xf>
    <xf numFmtId="0" fontId="10" fillId="0" borderId="32" xfId="2" applyFont="1" applyBorder="1" applyAlignment="1">
      <alignment horizontal="center" vertical="center"/>
    </xf>
    <xf numFmtId="0" fontId="10" fillId="0" borderId="32" xfId="2" applyFont="1" applyBorder="1" applyAlignment="1">
      <alignment horizontal="center"/>
    </xf>
    <xf numFmtId="3" fontId="14" fillId="0" borderId="32" xfId="2" applyNumberFormat="1" applyFont="1" applyBorder="1" applyAlignment="1">
      <alignment horizontal="right" vertical="center"/>
    </xf>
    <xf numFmtId="0" fontId="33" fillId="0" borderId="32" xfId="10" applyFont="1" applyBorder="1" applyAlignment="1">
      <alignment vertical="center"/>
    </xf>
    <xf numFmtId="0" fontId="15" fillId="0" borderId="32" xfId="10" applyFont="1" applyBorder="1" applyAlignment="1">
      <alignment vertical="center"/>
    </xf>
    <xf numFmtId="0" fontId="14" fillId="0" borderId="33" xfId="3" applyFont="1" applyBorder="1" applyAlignment="1" applyProtection="1">
      <alignment vertical="center"/>
      <protection locked="0"/>
    </xf>
    <xf numFmtId="0" fontId="14" fillId="4" borderId="0" xfId="3" applyFont="1" applyFill="1" applyAlignment="1">
      <alignment vertical="center"/>
    </xf>
    <xf numFmtId="0" fontId="14" fillId="0" borderId="0" xfId="2" applyFont="1" applyAlignment="1">
      <alignment vertical="center"/>
    </xf>
    <xf numFmtId="167" fontId="29" fillId="0" borderId="9" xfId="3" applyNumberFormat="1" applyFont="1" applyBorder="1" applyAlignment="1">
      <alignment horizontal="right" vertical="center"/>
    </xf>
    <xf numFmtId="3" fontId="10" fillId="2" borderId="9" xfId="2" applyNumberFormat="1" applyFont="1" applyFill="1" applyBorder="1"/>
    <xf numFmtId="0" fontId="14" fillId="5" borderId="0" xfId="3" applyFont="1" applyFill="1" applyAlignment="1">
      <alignment vertical="center"/>
    </xf>
    <xf numFmtId="168" fontId="20" fillId="4" borderId="0" xfId="3" applyNumberFormat="1" applyFont="1" applyFill="1" applyAlignment="1">
      <alignment vertical="center"/>
    </xf>
    <xf numFmtId="168" fontId="20" fillId="5" borderId="0" xfId="3" applyNumberFormat="1" applyFont="1" applyFill="1" applyAlignment="1">
      <alignment vertical="center"/>
    </xf>
    <xf numFmtId="9" fontId="9" fillId="4" borderId="9" xfId="2" applyNumberFormat="1" applyFont="1" applyFill="1" applyBorder="1" applyAlignment="1" applyProtection="1">
      <alignment vertical="center"/>
      <protection locked="0"/>
    </xf>
    <xf numFmtId="3" fontId="9" fillId="2" borderId="9" xfId="3" applyNumberFormat="1" applyFill="1" applyBorder="1" applyAlignment="1">
      <alignment horizontal="right" vertical="center"/>
    </xf>
    <xf numFmtId="0" fontId="6" fillId="0" borderId="0" xfId="21"/>
    <xf numFmtId="0" fontId="41" fillId="10" borderId="0" xfId="21" applyFont="1" applyFill="1"/>
    <xf numFmtId="0" fontId="6" fillId="0" borderId="0" xfId="21" applyAlignment="1">
      <alignment horizontal="left" vertical="center"/>
    </xf>
    <xf numFmtId="0" fontId="26" fillId="0" borderId="1" xfId="21" applyFont="1" applyBorder="1"/>
    <xf numFmtId="0" fontId="26" fillId="0" borderId="0" xfId="21" applyFont="1"/>
    <xf numFmtId="0" fontId="26" fillId="0" borderId="2" xfId="21" applyFont="1" applyBorder="1"/>
    <xf numFmtId="0" fontId="26" fillId="0" borderId="1" xfId="21" applyFont="1" applyBorder="1" applyAlignment="1">
      <alignment horizontal="center" wrapText="1"/>
    </xf>
    <xf numFmtId="0" fontId="26" fillId="0" borderId="2" xfId="21" applyFont="1" applyBorder="1" applyAlignment="1">
      <alignment wrapText="1"/>
    </xf>
    <xf numFmtId="0" fontId="26" fillId="0" borderId="3" xfId="21" applyFont="1" applyBorder="1" applyAlignment="1">
      <alignment wrapText="1"/>
    </xf>
    <xf numFmtId="0" fontId="26" fillId="0" borderId="21" xfId="21" applyFont="1" applyBorder="1" applyAlignment="1">
      <alignment wrapText="1"/>
    </xf>
    <xf numFmtId="0" fontId="26" fillId="0" borderId="22" xfId="21" applyFont="1" applyBorder="1" applyAlignment="1">
      <alignment wrapText="1"/>
    </xf>
    <xf numFmtId="0" fontId="26" fillId="0" borderId="0" xfId="21" applyFont="1" applyAlignment="1">
      <alignment horizontal="center"/>
    </xf>
    <xf numFmtId="0" fontId="25" fillId="0" borderId="0" xfId="23" applyFont="1" applyAlignment="1">
      <alignment horizontal="right"/>
    </xf>
    <xf numFmtId="166" fontId="9" fillId="10" borderId="0" xfId="23" applyNumberFormat="1" applyFill="1" applyAlignment="1">
      <alignment horizontal="right" vertical="center"/>
    </xf>
    <xf numFmtId="166" fontId="9" fillId="10" borderId="0" xfId="23" applyNumberFormat="1" applyFill="1" applyAlignment="1">
      <alignment horizontal="center" vertical="center"/>
    </xf>
    <xf numFmtId="165" fontId="9" fillId="10" borderId="0" xfId="22" applyNumberFormat="1" applyFont="1" applyFill="1" applyBorder="1" applyAlignment="1">
      <alignment horizontal="right" vertical="center"/>
    </xf>
    <xf numFmtId="0" fontId="9" fillId="0" borderId="0" xfId="22" applyFont="1" applyBorder="1" applyAlignment="1">
      <alignment vertical="center" wrapText="1"/>
    </xf>
    <xf numFmtId="0" fontId="9" fillId="0" borderId="0" xfId="23" applyAlignment="1">
      <alignment horizontal="left" vertical="center"/>
    </xf>
    <xf numFmtId="166" fontId="9" fillId="0" borderId="0" xfId="23" applyNumberFormat="1" applyAlignment="1">
      <alignment horizontal="right" vertical="center"/>
    </xf>
    <xf numFmtId="167" fontId="9" fillId="0" borderId="0" xfId="23" applyNumberFormat="1" applyAlignment="1">
      <alignment horizontal="right" vertical="center"/>
    </xf>
    <xf numFmtId="166" fontId="9" fillId="0" borderId="0" xfId="23" applyNumberFormat="1" applyAlignment="1">
      <alignment horizontal="center" vertical="center"/>
    </xf>
    <xf numFmtId="165" fontId="9" fillId="0" borderId="0" xfId="22" applyNumberFormat="1" applyFont="1" applyBorder="1" applyAlignment="1">
      <alignment horizontal="right" vertical="center"/>
    </xf>
    <xf numFmtId="0" fontId="9" fillId="0" borderId="0" xfId="23" applyAlignment="1">
      <alignment horizontal="left" vertical="top"/>
    </xf>
    <xf numFmtId="0" fontId="9" fillId="0" borderId="8" xfId="23" applyBorder="1" applyAlignment="1">
      <alignment horizontal="left"/>
    </xf>
    <xf numFmtId="0" fontId="9" fillId="0" borderId="1" xfId="22" applyFont="1" applyBorder="1" applyAlignment="1">
      <alignment horizontal="center" wrapText="1"/>
    </xf>
    <xf numFmtId="0" fontId="9" fillId="0" borderId="1" xfId="23" applyBorder="1" applyAlignment="1">
      <alignment horizontal="center" wrapText="1"/>
    </xf>
    <xf numFmtId="0" fontId="9" fillId="0" borderId="2" xfId="22" applyFont="1" applyBorder="1" applyAlignment="1">
      <alignment horizontal="center" wrapText="1"/>
    </xf>
    <xf numFmtId="0" fontId="9" fillId="0" borderId="3" xfId="23" applyBorder="1" applyAlignment="1">
      <alignment horizontal="left" vertical="top"/>
    </xf>
    <xf numFmtId="0" fontId="9" fillId="0" borderId="8" xfId="23" applyBorder="1" applyAlignment="1">
      <alignment horizontal="left" vertical="top"/>
    </xf>
    <xf numFmtId="0" fontId="9" fillId="0" borderId="3" xfId="23" applyBorder="1" applyAlignment="1">
      <alignment horizontal="center" vertical="top" wrapText="1"/>
    </xf>
    <xf numFmtId="0" fontId="9" fillId="0" borderId="3" xfId="22" applyFont="1" applyBorder="1" applyAlignment="1">
      <alignment horizontal="center" vertical="top" wrapText="1"/>
    </xf>
    <xf numFmtId="0" fontId="9" fillId="0" borderId="0" xfId="23"/>
    <xf numFmtId="0" fontId="9" fillId="0" borderId="0" xfId="22" applyFont="1"/>
    <xf numFmtId="0" fontId="9" fillId="0" borderId="9" xfId="22" applyFont="1" applyBorder="1" applyAlignment="1">
      <alignment vertical="center" wrapText="1"/>
    </xf>
    <xf numFmtId="0" fontId="9" fillId="0" borderId="2" xfId="23" applyBorder="1" applyAlignment="1">
      <alignment horizontal="left" vertical="center"/>
    </xf>
    <xf numFmtId="167" fontId="9" fillId="0" borderId="9" xfId="23" applyNumberFormat="1" applyBorder="1" applyAlignment="1">
      <alignment horizontal="center" wrapText="1"/>
    </xf>
    <xf numFmtId="167" fontId="9" fillId="0" borderId="9" xfId="23" applyNumberFormat="1" applyBorder="1" applyAlignment="1">
      <alignment horizontal="center"/>
    </xf>
    <xf numFmtId="167" fontId="9" fillId="0" borderId="1" xfId="23" applyNumberFormat="1" applyBorder="1" applyAlignment="1">
      <alignment horizontal="center" vertical="center" wrapText="1"/>
    </xf>
    <xf numFmtId="2" fontId="9" fillId="0" borderId="1" xfId="23" quotePrefix="1" applyNumberFormat="1" applyBorder="1" applyAlignment="1">
      <alignment horizontal="center" vertical="center" wrapText="1"/>
    </xf>
    <xf numFmtId="183" fontId="9" fillId="0" borderId="1" xfId="23" quotePrefix="1" applyNumberFormat="1" applyBorder="1" applyAlignment="1">
      <alignment horizontal="center" vertical="center" wrapText="1"/>
    </xf>
    <xf numFmtId="167" fontId="9" fillId="0" borderId="30" xfId="23" applyNumberFormat="1" applyBorder="1" applyAlignment="1">
      <alignment horizontal="left" vertical="center" wrapText="1"/>
    </xf>
    <xf numFmtId="167" fontId="9" fillId="0" borderId="30" xfId="23" quotePrefix="1" applyNumberFormat="1" applyBorder="1" applyAlignment="1">
      <alignment horizontal="left" vertical="center" wrapText="1"/>
    </xf>
    <xf numFmtId="183" fontId="28" fillId="0" borderId="30" xfId="23" applyNumberFormat="1" applyFont="1" applyBorder="1" applyAlignment="1">
      <alignment horizontal="center" vertical="center" wrapText="1"/>
    </xf>
    <xf numFmtId="167" fontId="9" fillId="0" borderId="9" xfId="23" applyNumberFormat="1" applyBorder="1" applyAlignment="1">
      <alignment horizontal="center" vertical="center"/>
    </xf>
    <xf numFmtId="0" fontId="43" fillId="0" borderId="5" xfId="23" applyFont="1" applyBorder="1" applyAlignment="1">
      <alignment vertical="center"/>
    </xf>
    <xf numFmtId="0" fontId="43" fillId="0" borderId="0" xfId="23" applyFont="1" applyAlignment="1">
      <alignment vertical="center"/>
    </xf>
    <xf numFmtId="0" fontId="43" fillId="0" borderId="5" xfId="22" applyFont="1" applyBorder="1"/>
    <xf numFmtId="0" fontId="43" fillId="0" borderId="0" xfId="22" applyFont="1" applyBorder="1"/>
    <xf numFmtId="0" fontId="9" fillId="0" borderId="1" xfId="22" applyFont="1" applyBorder="1" applyAlignment="1">
      <alignment horizontal="center" textRotation="90" wrapText="1"/>
    </xf>
    <xf numFmtId="0" fontId="43" fillId="0" borderId="3" xfId="22" applyFont="1" applyBorder="1"/>
    <xf numFmtId="0" fontId="43" fillId="0" borderId="0" xfId="23" applyFont="1"/>
    <xf numFmtId="167" fontId="9" fillId="0" borderId="18" xfId="23" applyNumberFormat="1" applyBorder="1" applyAlignment="1">
      <alignment horizontal="center" wrapText="1"/>
    </xf>
    <xf numFmtId="167" fontId="9" fillId="0" borderId="20" xfId="23" applyNumberFormat="1" applyBorder="1" applyAlignment="1">
      <alignment horizontal="center" wrapText="1"/>
    </xf>
    <xf numFmtId="0" fontId="9" fillId="0" borderId="7" xfId="23" applyBorder="1" applyAlignment="1">
      <alignment horizontal="left" vertical="center"/>
    </xf>
    <xf numFmtId="0" fontId="9" fillId="0" borderId="0" xfId="23" applyAlignment="1">
      <alignment vertical="center"/>
    </xf>
    <xf numFmtId="0" fontId="45" fillId="0" borderId="0" xfId="23" applyFont="1" applyAlignment="1">
      <alignment vertical="center"/>
    </xf>
    <xf numFmtId="0" fontId="45" fillId="0" borderId="0" xfId="22" applyFont="1"/>
    <xf numFmtId="0" fontId="9" fillId="0" borderId="4" xfId="25" applyFont="1" applyBorder="1"/>
    <xf numFmtId="0" fontId="9" fillId="0" borderId="5" xfId="25" applyFont="1" applyBorder="1"/>
    <xf numFmtId="0" fontId="9" fillId="0" borderId="6" xfId="25" applyFont="1" applyBorder="1"/>
    <xf numFmtId="0" fontId="9" fillId="0" borderId="0" xfId="25" applyFont="1"/>
    <xf numFmtId="0" fontId="9" fillId="0" borderId="4" xfId="2" applyFont="1" applyBorder="1" applyAlignment="1">
      <alignment wrapText="1"/>
    </xf>
    <xf numFmtId="0" fontId="9" fillId="0" borderId="5" xfId="2" applyFont="1" applyBorder="1" applyAlignment="1">
      <alignment vertical="top"/>
    </xf>
    <xf numFmtId="0" fontId="9" fillId="0" borderId="5" xfId="2" applyFont="1" applyBorder="1" applyAlignment="1">
      <alignment horizontal="center"/>
    </xf>
    <xf numFmtId="0" fontId="9" fillId="0" borderId="6" xfId="2" applyFont="1" applyBorder="1"/>
    <xf numFmtId="0" fontId="9" fillId="0" borderId="7" xfId="25" applyFont="1" applyBorder="1"/>
    <xf numFmtId="0" fontId="9" fillId="0" borderId="0" xfId="25" applyFont="1" applyBorder="1"/>
    <xf numFmtId="0" fontId="8" fillId="0" borderId="0" xfId="22" applyBorder="1"/>
    <xf numFmtId="0" fontId="8" fillId="0" borderId="8" xfId="22" applyBorder="1"/>
    <xf numFmtId="0" fontId="9" fillId="0" borderId="0" xfId="2" applyFont="1" applyBorder="1" applyAlignment="1">
      <alignment vertical="top"/>
    </xf>
    <xf numFmtId="0" fontId="9" fillId="0" borderId="8" xfId="2" applyFont="1" applyBorder="1"/>
    <xf numFmtId="0" fontId="30" fillId="0" borderId="0" xfId="25" applyFont="1"/>
    <xf numFmtId="0" fontId="9" fillId="0" borderId="21" xfId="25" applyFont="1" applyBorder="1"/>
    <xf numFmtId="0" fontId="9" fillId="0" borderId="28" xfId="25" applyFont="1" applyBorder="1"/>
    <xf numFmtId="0" fontId="9" fillId="0" borderId="22" xfId="25" applyFont="1" applyBorder="1"/>
    <xf numFmtId="0" fontId="9" fillId="0" borderId="21" xfId="2" applyFont="1" applyBorder="1" applyAlignment="1">
      <alignment horizontal="center" wrapText="1"/>
    </xf>
    <xf numFmtId="0" fontId="9" fillId="0" borderId="28" xfId="2" applyFont="1" applyBorder="1" applyAlignment="1">
      <alignment vertical="top"/>
    </xf>
    <xf numFmtId="0" fontId="9" fillId="0" borderId="28" xfId="2" applyFont="1" applyBorder="1" applyAlignment="1">
      <alignment horizontal="center"/>
    </xf>
    <xf numFmtId="0" fontId="9" fillId="0" borderId="22" xfId="2" applyFont="1" applyBorder="1"/>
    <xf numFmtId="0" fontId="9" fillId="0" borderId="3" xfId="2" applyFont="1" applyBorder="1" applyAlignment="1">
      <alignment horizontal="center" wrapText="1"/>
    </xf>
    <xf numFmtId="0" fontId="8" fillId="0" borderId="3" xfId="25" applyBorder="1" applyAlignment="1">
      <alignment horizontal="center" wrapText="1"/>
    </xf>
    <xf numFmtId="0" fontId="15" fillId="0" borderId="3" xfId="25" applyFont="1" applyBorder="1" applyAlignment="1">
      <alignment horizontal="center" wrapText="1"/>
    </xf>
    <xf numFmtId="0" fontId="9" fillId="0" borderId="0" xfId="25" applyFont="1" applyBorder="1" applyAlignment="1">
      <alignment vertical="top"/>
    </xf>
    <xf numFmtId="0" fontId="9" fillId="0" borderId="0" xfId="25" applyFont="1" applyBorder="1" applyAlignment="1">
      <alignment horizontal="centerContinuous" wrapText="1"/>
    </xf>
    <xf numFmtId="0" fontId="9" fillId="0" borderId="0" xfId="25" applyFont="1" applyBorder="1" applyAlignment="1">
      <alignment horizontal="centerContinuous" vertical="top" wrapText="1"/>
    </xf>
    <xf numFmtId="0" fontId="9" fillId="0" borderId="0" xfId="25" applyFont="1" applyAlignment="1">
      <alignment horizontal="center"/>
    </xf>
    <xf numFmtId="0" fontId="12" fillId="0" borderId="0" xfId="25" applyFont="1"/>
    <xf numFmtId="0" fontId="9" fillId="0" borderId="0" xfId="25" applyFont="1" applyAlignment="1">
      <alignment vertical="center"/>
    </xf>
    <xf numFmtId="0" fontId="12" fillId="0" borderId="0" xfId="25" applyFont="1" applyBorder="1" applyAlignment="1">
      <alignment vertical="top"/>
    </xf>
    <xf numFmtId="0" fontId="9" fillId="0" borderId="7" xfId="25" applyFont="1" applyBorder="1" applyAlignment="1">
      <alignment vertical="center"/>
    </xf>
    <xf numFmtId="0" fontId="12" fillId="0" borderId="0" xfId="25" applyFont="1" applyBorder="1" applyAlignment="1">
      <alignment vertical="center"/>
    </xf>
    <xf numFmtId="0" fontId="9" fillId="0" borderId="0" xfId="25" applyFont="1" applyBorder="1" applyAlignment="1">
      <alignment vertical="center"/>
    </xf>
    <xf numFmtId="0" fontId="9" fillId="0" borderId="8" xfId="25" applyFont="1" applyBorder="1" applyAlignment="1">
      <alignment vertical="center"/>
    </xf>
    <xf numFmtId="166" fontId="9" fillId="0" borderId="0" xfId="25" applyNumberFormat="1" applyFont="1" applyBorder="1" applyAlignment="1">
      <alignment horizontal="right" vertical="center"/>
    </xf>
    <xf numFmtId="166" fontId="9" fillId="0" borderId="8" xfId="25" applyNumberFormat="1" applyFont="1" applyBorder="1" applyAlignment="1">
      <alignment horizontal="right" vertical="center"/>
    </xf>
    <xf numFmtId="180" fontId="9" fillId="0" borderId="9" xfId="2" applyNumberFormat="1" applyFont="1" applyBorder="1" applyAlignment="1">
      <alignment horizontal="right" vertical="center"/>
    </xf>
    <xf numFmtId="167" fontId="9" fillId="0" borderId="9" xfId="2" applyNumberFormat="1" applyFont="1" applyBorder="1" applyAlignment="1">
      <alignment horizontal="right" vertical="center"/>
    </xf>
    <xf numFmtId="168" fontId="9" fillId="0" borderId="10" xfId="25" applyNumberFormat="1" applyFont="1" applyBorder="1" applyAlignment="1">
      <alignment horizontal="right" vertical="center"/>
    </xf>
    <xf numFmtId="0" fontId="30" fillId="0" borderId="0" xfId="25" applyFont="1" applyAlignment="1">
      <alignment vertical="center"/>
    </xf>
    <xf numFmtId="0" fontId="28" fillId="0" borderId="0" xfId="25" applyFont="1" applyAlignment="1">
      <alignment vertical="center"/>
    </xf>
    <xf numFmtId="185" fontId="9" fillId="0" borderId="9" xfId="25" applyNumberFormat="1" applyFont="1" applyBorder="1" applyAlignment="1">
      <alignment horizontal="right" vertical="center"/>
    </xf>
    <xf numFmtId="168" fontId="9" fillId="0" borderId="11" xfId="25" applyNumberFormat="1" applyFont="1" applyBorder="1" applyAlignment="1">
      <alignment horizontal="right" vertical="center"/>
    </xf>
    <xf numFmtId="0" fontId="9" fillId="9" borderId="0" xfId="25" applyFont="1" applyFill="1" applyAlignment="1" applyProtection="1">
      <alignment vertical="center"/>
      <protection locked="0"/>
    </xf>
    <xf numFmtId="176" fontId="9" fillId="0" borderId="9" xfId="25" applyNumberFormat="1" applyFont="1" applyBorder="1" applyAlignment="1">
      <alignment horizontal="right" vertical="center"/>
    </xf>
    <xf numFmtId="0" fontId="14" fillId="9" borderId="0" xfId="25" applyFont="1" applyFill="1" applyBorder="1" applyAlignment="1">
      <alignment horizontal="left" vertical="center"/>
    </xf>
    <xf numFmtId="168" fontId="9" fillId="0" borderId="9" xfId="2" applyNumberFormat="1" applyFont="1" applyBorder="1" applyAlignment="1">
      <alignment horizontal="right"/>
    </xf>
    <xf numFmtId="0" fontId="30" fillId="0" borderId="0" xfId="25" applyFont="1" applyBorder="1" applyAlignment="1">
      <alignment vertical="center"/>
    </xf>
    <xf numFmtId="174" fontId="9" fillId="0" borderId="0" xfId="25" applyNumberFormat="1" applyFont="1" applyBorder="1" applyAlignment="1">
      <alignment horizontal="right" vertical="center"/>
    </xf>
    <xf numFmtId="167" fontId="9" fillId="0" borderId="0" xfId="25" applyNumberFormat="1" applyFont="1" applyBorder="1" applyAlignment="1">
      <alignment horizontal="right" vertical="center"/>
    </xf>
    <xf numFmtId="0" fontId="28" fillId="0" borderId="0" xfId="25" applyFont="1" applyBorder="1" applyAlignment="1">
      <alignment vertical="center"/>
    </xf>
    <xf numFmtId="1" fontId="9" fillId="0" borderId="0" xfId="25" applyNumberFormat="1" applyFont="1" applyBorder="1" applyAlignment="1">
      <alignment vertical="center"/>
    </xf>
    <xf numFmtId="168" fontId="9" fillId="0" borderId="13" xfId="25" applyNumberFormat="1" applyFont="1" applyBorder="1" applyAlignment="1">
      <alignment horizontal="right" vertical="center"/>
    </xf>
    <xf numFmtId="1" fontId="9" fillId="0" borderId="0" xfId="25" applyNumberFormat="1" applyFont="1" applyBorder="1" applyAlignment="1">
      <alignment horizontal="right" vertical="center"/>
    </xf>
    <xf numFmtId="2" fontId="9" fillId="0" borderId="0" xfId="25" applyNumberFormat="1" applyFont="1" applyBorder="1" applyAlignment="1">
      <alignment horizontal="right" vertical="center"/>
    </xf>
    <xf numFmtId="164" fontId="9" fillId="0" borderId="0" xfId="25" applyNumberFormat="1" applyFont="1" applyBorder="1" applyAlignment="1">
      <alignment horizontal="right" vertical="center"/>
    </xf>
    <xf numFmtId="168" fontId="14" fillId="0" borderId="14" xfId="25" applyNumberFormat="1" applyFont="1" applyBorder="1" applyAlignment="1">
      <alignment vertical="center"/>
    </xf>
    <xf numFmtId="0" fontId="9" fillId="0" borderId="0" xfId="25" applyFont="1" applyBorder="1" applyAlignment="1">
      <alignment horizontal="right" vertical="center" indent="1"/>
    </xf>
    <xf numFmtId="164" fontId="9" fillId="10" borderId="9" xfId="2" applyNumberFormat="1" applyFont="1" applyFill="1" applyBorder="1" applyAlignment="1" applyProtection="1">
      <alignment vertical="center"/>
      <protection locked="0"/>
    </xf>
    <xf numFmtId="172" fontId="12" fillId="0" borderId="0" xfId="25" applyNumberFormat="1" applyFont="1" applyBorder="1" applyAlignment="1">
      <alignment horizontal="right" vertical="center"/>
    </xf>
    <xf numFmtId="166" fontId="12" fillId="0" borderId="0" xfId="25" applyNumberFormat="1" applyFont="1" applyBorder="1" applyAlignment="1">
      <alignment horizontal="right" vertical="center"/>
    </xf>
    <xf numFmtId="1" fontId="12" fillId="0" borderId="0" xfId="25" applyNumberFormat="1" applyFont="1" applyBorder="1" applyAlignment="1">
      <alignment vertical="center"/>
    </xf>
    <xf numFmtId="0" fontId="28" fillId="3" borderId="0" xfId="25" applyFont="1" applyFill="1" applyBorder="1" applyAlignment="1">
      <alignment vertical="center"/>
    </xf>
    <xf numFmtId="172" fontId="9" fillId="2" borderId="1" xfId="25" applyNumberFormat="1" applyFont="1" applyFill="1" applyBorder="1" applyAlignment="1">
      <alignment vertical="center"/>
    </xf>
    <xf numFmtId="0" fontId="9" fillId="3" borderId="0" xfId="25" applyFont="1" applyFill="1" applyBorder="1" applyAlignment="1">
      <alignment horizontal="right" indent="1"/>
    </xf>
    <xf numFmtId="172" fontId="14" fillId="2" borderId="14" xfId="25" applyNumberFormat="1" applyFont="1" applyFill="1" applyBorder="1" applyAlignment="1">
      <alignment vertical="center"/>
    </xf>
    <xf numFmtId="0" fontId="12" fillId="0" borderId="0" xfId="25" applyFont="1" applyBorder="1" applyAlignment="1">
      <alignment horizontal="right" vertical="center" indent="1"/>
    </xf>
    <xf numFmtId="0" fontId="9" fillId="0" borderId="0" xfId="2" applyFont="1" applyAlignment="1">
      <alignment horizontal="center"/>
    </xf>
    <xf numFmtId="0" fontId="14" fillId="0" borderId="0" xfId="25" applyFont="1" applyBorder="1" applyAlignment="1">
      <alignment horizontal="right" vertical="center" indent="1"/>
    </xf>
    <xf numFmtId="3" fontId="9" fillId="0" borderId="0" xfId="25" applyNumberFormat="1" applyFont="1" applyBorder="1" applyAlignment="1">
      <alignment horizontal="right" vertical="center"/>
    </xf>
    <xf numFmtId="0" fontId="9" fillId="9" borderId="29" xfId="2" applyFont="1" applyFill="1" applyBorder="1" applyAlignment="1">
      <alignment vertical="center"/>
    </xf>
    <xf numFmtId="0" fontId="9" fillId="9" borderId="29" xfId="2" applyFont="1" applyFill="1" applyBorder="1" applyAlignment="1">
      <alignment horizontal="right"/>
    </xf>
    <xf numFmtId="0" fontId="9" fillId="9" borderId="29" xfId="2" applyFont="1" applyFill="1" applyBorder="1"/>
    <xf numFmtId="0" fontId="9" fillId="9" borderId="29" xfId="2" applyFont="1" applyFill="1" applyBorder="1" applyAlignment="1">
      <alignment horizontal="center"/>
    </xf>
    <xf numFmtId="0" fontId="9" fillId="0" borderId="0" xfId="25" applyFont="1" applyBorder="1" applyAlignment="1">
      <alignment horizontal="right" indent="1"/>
    </xf>
    <xf numFmtId="0" fontId="9" fillId="0" borderId="8" xfId="25" applyFont="1" applyBorder="1"/>
    <xf numFmtId="0" fontId="9" fillId="9" borderId="44" xfId="2" applyFont="1" applyFill="1" applyBorder="1"/>
    <xf numFmtId="0" fontId="9" fillId="9" borderId="44" xfId="2" applyFont="1" applyFill="1" applyBorder="1" applyAlignment="1">
      <alignment horizontal="right"/>
    </xf>
    <xf numFmtId="0" fontId="9" fillId="9" borderId="44" xfId="2" applyFont="1" applyFill="1" applyBorder="1" applyAlignment="1">
      <alignment horizontal="center"/>
    </xf>
    <xf numFmtId="0" fontId="9" fillId="9" borderId="44" xfId="2" applyFont="1" applyFill="1" applyBorder="1" applyAlignment="1">
      <alignment vertical="center"/>
    </xf>
    <xf numFmtId="2" fontId="9" fillId="9" borderId="44" xfId="2" applyNumberFormat="1" applyFont="1" applyFill="1" applyBorder="1" applyAlignment="1">
      <alignment horizontal="right" vertical="center"/>
    </xf>
    <xf numFmtId="164" fontId="9" fillId="0" borderId="0" xfId="2" applyNumberFormat="1" applyFont="1" applyBorder="1" applyAlignment="1">
      <alignment vertical="center"/>
    </xf>
    <xf numFmtId="0" fontId="26" fillId="0" borderId="0" xfId="25" applyFont="1" applyBorder="1" applyAlignment="1">
      <alignment vertical="center"/>
    </xf>
    <xf numFmtId="9" fontId="9" fillId="0" borderId="9" xfId="25" applyNumberFormat="1" applyFont="1" applyBorder="1" applyAlignment="1">
      <alignment vertical="center"/>
    </xf>
    <xf numFmtId="9" fontId="9" fillId="10" borderId="9" xfId="25" applyNumberFormat="1" applyFont="1" applyFill="1" applyBorder="1" applyAlignment="1" applyProtection="1">
      <alignment vertical="center"/>
      <protection locked="0"/>
    </xf>
    <xf numFmtId="0" fontId="31" fillId="0" borderId="0" xfId="25" applyFont="1" applyAlignment="1">
      <alignment vertical="center"/>
    </xf>
    <xf numFmtId="0" fontId="14" fillId="0" borderId="0" xfId="25" applyFont="1" applyBorder="1" applyAlignment="1">
      <alignment horizontal="left" vertical="center"/>
    </xf>
    <xf numFmtId="0" fontId="31" fillId="0" borderId="0" xfId="25" applyFont="1" applyBorder="1" applyAlignment="1">
      <alignment vertical="center"/>
    </xf>
    <xf numFmtId="9" fontId="32" fillId="0" borderId="0" xfId="25" applyNumberFormat="1" applyFont="1" applyBorder="1" applyAlignment="1">
      <alignment vertical="center"/>
    </xf>
    <xf numFmtId="0" fontId="32" fillId="0" borderId="0" xfId="25" applyFont="1" applyBorder="1"/>
    <xf numFmtId="0" fontId="32" fillId="0" borderId="0" xfId="25" applyFont="1" applyAlignment="1">
      <alignment vertical="center"/>
    </xf>
    <xf numFmtId="0" fontId="9" fillId="0" borderId="29" xfId="25" applyFont="1" applyBorder="1" applyAlignment="1">
      <alignment vertical="center"/>
    </xf>
    <xf numFmtId="0" fontId="9" fillId="0" borderId="29" xfId="25" applyFont="1" applyBorder="1" applyAlignment="1">
      <alignment horizontal="center"/>
    </xf>
    <xf numFmtId="0" fontId="9" fillId="0" borderId="29" xfId="25" applyFont="1" applyBorder="1"/>
    <xf numFmtId="0" fontId="9" fillId="0" borderId="32" xfId="2" applyFont="1" applyBorder="1"/>
    <xf numFmtId="0" fontId="9" fillId="0" borderId="32" xfId="2" applyFont="1" applyBorder="1" applyAlignment="1">
      <alignment horizontal="center" vertical="center"/>
    </xf>
    <xf numFmtId="0" fontId="9" fillId="0" borderId="32" xfId="2" applyFont="1" applyBorder="1" applyAlignment="1">
      <alignment horizontal="center"/>
    </xf>
    <xf numFmtId="0" fontId="32" fillId="0" borderId="0" xfId="25" applyFont="1"/>
    <xf numFmtId="168" fontId="9" fillId="0" borderId="0" xfId="25" applyNumberFormat="1" applyFont="1" applyBorder="1" applyAlignment="1">
      <alignment vertical="center"/>
    </xf>
    <xf numFmtId="0" fontId="34" fillId="0" borderId="0" xfId="23" applyFont="1" applyAlignment="1">
      <alignment horizontal="right"/>
    </xf>
    <xf numFmtId="168" fontId="9" fillId="0" borderId="36" xfId="2" applyNumberFormat="1" applyFont="1" applyBorder="1" applyAlignment="1">
      <alignment vertical="center"/>
    </xf>
    <xf numFmtId="168" fontId="9" fillId="2" borderId="36" xfId="2" applyNumberFormat="1" applyFont="1" applyFill="1" applyBorder="1" applyAlignment="1">
      <alignment vertical="center"/>
    </xf>
    <xf numFmtId="0" fontId="9" fillId="0" borderId="29" xfId="2" applyFont="1" applyBorder="1" applyAlignment="1">
      <alignment horizontal="center"/>
    </xf>
    <xf numFmtId="0" fontId="9" fillId="0" borderId="32" xfId="25" applyFont="1" applyBorder="1"/>
    <xf numFmtId="0" fontId="33" fillId="0" borderId="32" xfId="25" applyFont="1" applyBorder="1" applyAlignment="1">
      <alignment vertical="center"/>
    </xf>
    <xf numFmtId="0" fontId="15" fillId="0" borderId="32" xfId="25" applyFont="1" applyBorder="1" applyAlignment="1">
      <alignment vertical="center"/>
    </xf>
    <xf numFmtId="0" fontId="9" fillId="0" borderId="32" xfId="25" applyFont="1" applyBorder="1" applyAlignment="1">
      <alignment horizontal="center"/>
    </xf>
    <xf numFmtId="0" fontId="25" fillId="0" borderId="32" xfId="2" applyFont="1" applyBorder="1" applyAlignment="1">
      <alignment horizontal="right"/>
    </xf>
    <xf numFmtId="0" fontId="33" fillId="0" borderId="0" xfId="25" applyFont="1" applyBorder="1" applyAlignment="1">
      <alignment vertical="center"/>
    </xf>
    <xf numFmtId="0" fontId="15" fillId="0" borderId="0" xfId="25" applyFont="1" applyBorder="1" applyAlignment="1">
      <alignment vertical="center"/>
    </xf>
    <xf numFmtId="0" fontId="28" fillId="0" borderId="0" xfId="25" applyFont="1"/>
    <xf numFmtId="0" fontId="14" fillId="9" borderId="0" xfId="25" applyFont="1" applyFill="1" applyBorder="1"/>
    <xf numFmtId="0" fontId="9" fillId="9" borderId="0" xfId="25" applyFont="1" applyFill="1" applyBorder="1"/>
    <xf numFmtId="0" fontId="15" fillId="9" borderId="0" xfId="25" applyFont="1" applyFill="1" applyBorder="1" applyAlignment="1">
      <alignment vertical="center"/>
    </xf>
    <xf numFmtId="0" fontId="9" fillId="9" borderId="0" xfId="25" applyFont="1" applyFill="1" applyAlignment="1">
      <alignment horizontal="center"/>
    </xf>
    <xf numFmtId="0" fontId="9" fillId="9" borderId="0" xfId="25" applyFont="1" applyFill="1"/>
    <xf numFmtId="0" fontId="28" fillId="9" borderId="0" xfId="25" applyFont="1" applyFill="1"/>
    <xf numFmtId="0" fontId="35" fillId="9" borderId="0" xfId="25" applyFont="1" applyFill="1" applyBorder="1" applyAlignment="1">
      <alignment horizontal="left" vertical="center"/>
    </xf>
    <xf numFmtId="0" fontId="34" fillId="9" borderId="0" xfId="23" applyFont="1" applyFill="1" applyAlignment="1">
      <alignment horizontal="right"/>
    </xf>
    <xf numFmtId="0" fontId="9" fillId="9" borderId="0" xfId="25" applyFont="1" applyFill="1" applyBorder="1" applyAlignment="1">
      <alignment horizontal="center"/>
    </xf>
    <xf numFmtId="0" fontId="9" fillId="0" borderId="0" xfId="25" applyFont="1" applyBorder="1" applyAlignment="1">
      <alignment horizontal="center"/>
    </xf>
    <xf numFmtId="0" fontId="25" fillId="0" borderId="0" xfId="25" applyFont="1" applyBorder="1"/>
    <xf numFmtId="0" fontId="14" fillId="0" borderId="29" xfId="25" applyFont="1" applyBorder="1" applyAlignment="1">
      <alignment vertical="center"/>
    </xf>
    <xf numFmtId="0" fontId="9" fillId="0" borderId="38" xfId="25" applyFont="1" applyBorder="1"/>
    <xf numFmtId="0" fontId="14" fillId="0" borderId="29" xfId="25" applyFont="1" applyBorder="1"/>
    <xf numFmtId="0" fontId="23" fillId="0" borderId="29" xfId="25" applyFont="1" applyBorder="1"/>
    <xf numFmtId="0" fontId="40" fillId="0" borderId="0" xfId="25" applyFont="1"/>
    <xf numFmtId="0" fontId="23" fillId="0" borderId="0" xfId="25" applyFont="1"/>
    <xf numFmtId="0" fontId="9" fillId="0" borderId="39" xfId="25" applyFont="1" applyBorder="1"/>
    <xf numFmtId="0" fontId="27" fillId="0" borderId="0" xfId="23" applyFont="1" applyAlignment="1">
      <alignment horizontal="left" vertical="center"/>
    </xf>
    <xf numFmtId="0" fontId="23" fillId="0" borderId="16" xfId="2" applyFont="1" applyBorder="1" applyAlignment="1">
      <alignment horizontal="right"/>
    </xf>
    <xf numFmtId="0" fontId="23" fillId="0" borderId="0" xfId="2" applyFont="1" applyBorder="1" applyAlignment="1">
      <alignment horizontal="center" wrapText="1"/>
    </xf>
    <xf numFmtId="176" fontId="9" fillId="10" borderId="9" xfId="27" applyNumberFormat="1" applyFont="1" applyFill="1" applyBorder="1" applyAlignment="1" applyProtection="1">
      <alignment vertical="center"/>
      <protection locked="0"/>
    </xf>
    <xf numFmtId="0" fontId="9" fillId="9" borderId="0" xfId="25" applyFont="1" applyFill="1" applyBorder="1" applyAlignment="1" applyProtection="1">
      <alignment horizontal="right" indent="1"/>
      <protection locked="0"/>
    </xf>
    <xf numFmtId="3" fontId="9" fillId="10" borderId="18" xfId="2" applyNumberFormat="1" applyFont="1" applyFill="1" applyBorder="1" applyAlignment="1" applyProtection="1">
      <alignment vertical="center"/>
      <protection locked="0"/>
    </xf>
    <xf numFmtId="9" fontId="9" fillId="10" borderId="9" xfId="26" applyFont="1" applyFill="1" applyBorder="1" applyAlignment="1" applyProtection="1">
      <alignment vertical="center"/>
      <protection locked="0"/>
    </xf>
    <xf numFmtId="165" fontId="9" fillId="0" borderId="9" xfId="27" applyNumberFormat="1" applyFont="1" applyFill="1" applyBorder="1" applyAlignment="1" applyProtection="1">
      <alignment vertical="center"/>
    </xf>
    <xf numFmtId="177" fontId="9" fillId="10" borderId="9" xfId="27" applyNumberFormat="1" applyFont="1" applyFill="1" applyBorder="1" applyAlignment="1" applyProtection="1">
      <alignment vertical="center"/>
      <protection locked="0"/>
    </xf>
    <xf numFmtId="176" fontId="14" fillId="0" borderId="9" xfId="27" applyNumberFormat="1" applyFont="1" applyFill="1" applyBorder="1" applyAlignment="1" applyProtection="1">
      <alignment vertical="center"/>
    </xf>
    <xf numFmtId="3" fontId="9" fillId="10" borderId="4" xfId="2" applyNumberFormat="1" applyFont="1" applyFill="1" applyBorder="1" applyAlignment="1" applyProtection="1">
      <alignment vertical="center"/>
      <protection locked="0"/>
    </xf>
    <xf numFmtId="3" fontId="9" fillId="0" borderId="14" xfId="25" applyNumberFormat="1" applyFont="1" applyBorder="1"/>
    <xf numFmtId="185" fontId="9" fillId="10" borderId="1" xfId="25" applyNumberFormat="1" applyFont="1" applyFill="1" applyBorder="1" applyAlignment="1" applyProtection="1">
      <alignment horizontal="right" vertical="center"/>
      <protection locked="0"/>
    </xf>
    <xf numFmtId="185" fontId="14" fillId="0" borderId="14" xfId="25" applyNumberFormat="1" applyFont="1" applyBorder="1"/>
    <xf numFmtId="3" fontId="9" fillId="0" borderId="0" xfId="27" applyNumberFormat="1" applyFont="1" applyFill="1" applyBorder="1" applyAlignment="1" applyProtection="1">
      <alignment vertical="center"/>
    </xf>
    <xf numFmtId="168" fontId="20" fillId="0" borderId="12" xfId="3" applyNumberFormat="1" applyFont="1" applyBorder="1" applyAlignment="1">
      <alignment horizontal="right" vertical="center"/>
    </xf>
    <xf numFmtId="0" fontId="9" fillId="0" borderId="0" xfId="3" applyProtection="1">
      <protection locked="0"/>
    </xf>
    <xf numFmtId="0" fontId="9" fillId="0" borderId="18"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9" fontId="9" fillId="0" borderId="9" xfId="2" applyNumberFormat="1" applyFont="1" applyBorder="1" applyAlignment="1">
      <alignment vertical="center"/>
    </xf>
    <xf numFmtId="0" fontId="9" fillId="9" borderId="0" xfId="10" applyFont="1" applyFill="1" applyAlignment="1">
      <alignment vertical="center"/>
    </xf>
    <xf numFmtId="0" fontId="9" fillId="9" borderId="0" xfId="25" applyFont="1" applyFill="1" applyAlignment="1">
      <alignment vertical="center"/>
    </xf>
    <xf numFmtId="0" fontId="9" fillId="9" borderId="0" xfId="25" applyFont="1" applyFill="1" applyBorder="1" applyAlignment="1" applyProtection="1">
      <alignment vertical="center"/>
      <protection locked="0"/>
    </xf>
    <xf numFmtId="0" fontId="9" fillId="9" borderId="0" xfId="25" applyFont="1" applyFill="1" applyBorder="1" applyAlignment="1">
      <alignment vertical="center"/>
    </xf>
    <xf numFmtId="0" fontId="9" fillId="9" borderId="0" xfId="10" applyFont="1" applyFill="1" applyBorder="1" applyAlignment="1" applyProtection="1">
      <alignment vertical="center"/>
      <protection locked="0"/>
    </xf>
    <xf numFmtId="0" fontId="9" fillId="9" borderId="0" xfId="10" applyFont="1" applyFill="1" applyBorder="1" applyAlignment="1">
      <alignment vertical="center"/>
    </xf>
    <xf numFmtId="3" fontId="9" fillId="9" borderId="9" xfId="2" applyNumberFormat="1" applyFont="1" applyFill="1" applyBorder="1" applyAlignment="1" applyProtection="1">
      <alignment horizontal="right"/>
      <protection locked="0"/>
    </xf>
    <xf numFmtId="183" fontId="9" fillId="0" borderId="1" xfId="23" applyNumberFormat="1" applyBorder="1" applyAlignment="1">
      <alignment horizontal="center" vertical="center" wrapText="1"/>
    </xf>
    <xf numFmtId="166" fontId="9" fillId="0" borderId="1" xfId="23" applyNumberFormat="1" applyBorder="1" applyAlignment="1">
      <alignment horizontal="center" vertical="center"/>
    </xf>
    <xf numFmtId="183" fontId="9" fillId="0" borderId="1" xfId="23" applyNumberFormat="1" applyBorder="1" applyAlignment="1">
      <alignment horizontal="center" vertical="center"/>
    </xf>
    <xf numFmtId="167" fontId="9" fillId="0" borderId="30" xfId="23" applyNumberFormat="1" applyBorder="1" applyAlignment="1">
      <alignment horizontal="center" vertical="center" wrapText="1"/>
    </xf>
    <xf numFmtId="183" fontId="28" fillId="0" borderId="30" xfId="23" applyNumberFormat="1" applyFont="1" applyBorder="1" applyAlignment="1">
      <alignment horizontal="center" vertical="top"/>
    </xf>
    <xf numFmtId="167" fontId="28" fillId="0" borderId="30" xfId="23" applyNumberFormat="1" applyFont="1" applyBorder="1" applyAlignment="1">
      <alignment horizontal="center" vertical="top"/>
    </xf>
    <xf numFmtId="167" fontId="9" fillId="0" borderId="9" xfId="23" applyNumberFormat="1" applyBorder="1" applyAlignment="1">
      <alignment horizontal="center" vertical="center" wrapText="1"/>
    </xf>
    <xf numFmtId="165" fontId="9" fillId="0" borderId="9" xfId="22" applyNumberFormat="1" applyFont="1" applyBorder="1" applyAlignment="1">
      <alignment horizontal="center" vertical="center"/>
    </xf>
    <xf numFmtId="167" fontId="26" fillId="0" borderId="9" xfId="23" applyNumberFormat="1" applyFont="1" applyBorder="1" applyAlignment="1">
      <alignment horizontal="center" vertical="center"/>
    </xf>
    <xf numFmtId="167" fontId="26" fillId="0" borderId="9" xfId="23" applyNumberFormat="1" applyFont="1" applyBorder="1" applyAlignment="1">
      <alignment horizontal="center" vertical="center" wrapText="1"/>
    </xf>
    <xf numFmtId="167" fontId="9" fillId="2" borderId="9" xfId="23" applyNumberFormat="1" applyFill="1" applyBorder="1" applyAlignment="1">
      <alignment vertical="center"/>
    </xf>
    <xf numFmtId="167" fontId="9" fillId="2" borderId="9" xfId="23" applyNumberFormat="1" applyFill="1" applyBorder="1" applyAlignment="1">
      <alignment horizontal="right" vertical="center"/>
    </xf>
    <xf numFmtId="182" fontId="9" fillId="0" borderId="9" xfId="23" applyNumberFormat="1" applyBorder="1" applyAlignment="1">
      <alignment horizontal="center" vertical="center" wrapText="1"/>
    </xf>
    <xf numFmtId="172" fontId="9" fillId="0" borderId="16" xfId="25" applyNumberFormat="1" applyFont="1" applyBorder="1" applyAlignment="1">
      <alignment vertical="center"/>
    </xf>
    <xf numFmtId="9" fontId="9" fillId="0" borderId="9" xfId="26" applyFont="1" applyFill="1" applyBorder="1" applyAlignment="1">
      <alignment horizontal="right" vertical="center"/>
    </xf>
    <xf numFmtId="1" fontId="9" fillId="4" borderId="9" xfId="2" applyNumberFormat="1" applyFont="1" applyFill="1" applyBorder="1" applyAlignment="1" applyProtection="1">
      <alignment vertical="center"/>
      <protection locked="0"/>
    </xf>
    <xf numFmtId="3" fontId="20" fillId="0" borderId="46" xfId="3" applyNumberFormat="1" applyFont="1" applyBorder="1" applyAlignment="1">
      <alignment vertical="center"/>
    </xf>
    <xf numFmtId="0" fontId="9" fillId="10" borderId="9" xfId="2" applyFont="1" applyFill="1" applyBorder="1" applyAlignment="1" applyProtection="1">
      <alignment vertical="center"/>
      <protection locked="0"/>
    </xf>
    <xf numFmtId="0" fontId="9" fillId="0" borderId="2" xfId="0" applyFont="1" applyBorder="1" applyAlignment="1">
      <alignment horizontal="center" textRotation="90" wrapText="1"/>
    </xf>
    <xf numFmtId="0" fontId="26" fillId="0" borderId="1" xfId="21" applyFont="1" applyBorder="1" applyAlignment="1">
      <alignment horizontal="left" vertical="center"/>
    </xf>
    <xf numFmtId="0" fontId="9" fillId="0" borderId="0" xfId="2" applyFont="1" applyAlignment="1">
      <alignment horizontal="right" vertical="center"/>
    </xf>
    <xf numFmtId="1" fontId="9" fillId="5" borderId="9" xfId="2" applyNumberFormat="1" applyFont="1" applyFill="1" applyBorder="1" applyAlignment="1" applyProtection="1">
      <alignment vertical="center"/>
      <protection locked="0"/>
    </xf>
    <xf numFmtId="0" fontId="12" fillId="6" borderId="0" xfId="2" applyFont="1" applyFill="1" applyProtection="1">
      <protection locked="0"/>
    </xf>
    <xf numFmtId="0" fontId="12" fillId="6" borderId="0" xfId="2" applyFont="1" applyFill="1" applyAlignment="1" applyProtection="1">
      <alignment vertical="center"/>
      <protection locked="0"/>
    </xf>
    <xf numFmtId="0" fontId="12" fillId="7" borderId="0" xfId="2" applyFont="1" applyFill="1" applyProtection="1">
      <protection locked="0"/>
    </xf>
    <xf numFmtId="0" fontId="12" fillId="7" borderId="0" xfId="2" applyFont="1" applyFill="1" applyAlignment="1" applyProtection="1">
      <alignment vertical="center"/>
      <protection locked="0"/>
    </xf>
    <xf numFmtId="0" fontId="12" fillId="9" borderId="0" xfId="25" applyFont="1" applyFill="1" applyAlignment="1" applyProtection="1">
      <alignment vertical="center"/>
      <protection locked="0"/>
    </xf>
    <xf numFmtId="0" fontId="12" fillId="9" borderId="0" xfId="25" applyFont="1" applyFill="1" applyProtection="1">
      <protection locked="0"/>
    </xf>
    <xf numFmtId="14" fontId="9" fillId="10" borderId="18" xfId="2" applyNumberFormat="1" applyFont="1" applyFill="1" applyBorder="1" applyProtection="1">
      <protection locked="0"/>
    </xf>
    <xf numFmtId="0" fontId="9" fillId="6" borderId="29" xfId="2" applyFont="1" applyFill="1" applyBorder="1"/>
    <xf numFmtId="0" fontId="9" fillId="6" borderId="44" xfId="2" applyFont="1" applyFill="1" applyBorder="1"/>
    <xf numFmtId="0" fontId="9" fillId="6" borderId="44" xfId="2" applyFont="1" applyFill="1" applyBorder="1" applyAlignment="1">
      <alignment horizontal="right"/>
    </xf>
    <xf numFmtId="0" fontId="23" fillId="6" borderId="44" xfId="2" applyFont="1" applyFill="1" applyBorder="1"/>
    <xf numFmtId="0" fontId="9" fillId="6" borderId="32" xfId="2" applyFont="1" applyFill="1" applyBorder="1" applyAlignment="1">
      <alignment horizontal="right"/>
    </xf>
    <xf numFmtId="0" fontId="23" fillId="6" borderId="32" xfId="2" applyFont="1" applyFill="1" applyBorder="1"/>
    <xf numFmtId="0" fontId="9" fillId="4" borderId="29" xfId="2" applyFont="1" applyFill="1" applyBorder="1" applyAlignment="1" applyProtection="1">
      <alignment horizontal="right"/>
      <protection locked="0"/>
    </xf>
    <xf numFmtId="0" fontId="9" fillId="4" borderId="44" xfId="2" applyFont="1" applyFill="1" applyBorder="1" applyAlignment="1" applyProtection="1">
      <alignment horizontal="right"/>
      <protection locked="0"/>
    </xf>
    <xf numFmtId="0" fontId="9" fillId="4" borderId="32" xfId="2" applyFont="1" applyFill="1" applyBorder="1" applyAlignment="1" applyProtection="1">
      <alignment horizontal="right"/>
      <protection locked="0"/>
    </xf>
    <xf numFmtId="0" fontId="9" fillId="7" borderId="29" xfId="2" applyFont="1" applyFill="1" applyBorder="1"/>
    <xf numFmtId="0" fontId="9" fillId="7" borderId="44" xfId="2" applyFont="1" applyFill="1" applyBorder="1"/>
    <xf numFmtId="0" fontId="9" fillId="7" borderId="44" xfId="2" applyFont="1" applyFill="1" applyBorder="1" applyAlignment="1">
      <alignment horizontal="right"/>
    </xf>
    <xf numFmtId="0" fontId="23" fillId="7" borderId="44" xfId="2" applyFont="1" applyFill="1" applyBorder="1"/>
    <xf numFmtId="0" fontId="9" fillId="7" borderId="32" xfId="2" applyFont="1" applyFill="1" applyBorder="1" applyAlignment="1">
      <alignment horizontal="right"/>
    </xf>
    <xf numFmtId="0" fontId="23" fillId="7" borderId="32" xfId="2" applyFont="1" applyFill="1" applyBorder="1"/>
    <xf numFmtId="0" fontId="9" fillId="5" borderId="29" xfId="2" applyFont="1" applyFill="1" applyBorder="1" applyAlignment="1" applyProtection="1">
      <alignment horizontal="right"/>
      <protection locked="0"/>
    </xf>
    <xf numFmtId="0" fontId="9" fillId="5" borderId="44" xfId="2" applyFont="1" applyFill="1" applyBorder="1" applyAlignment="1" applyProtection="1">
      <alignment horizontal="right"/>
      <protection locked="0"/>
    </xf>
    <xf numFmtId="0" fontId="9" fillId="5" borderId="32" xfId="2" applyFont="1" applyFill="1" applyBorder="1" applyAlignment="1" applyProtection="1">
      <alignment horizontal="right"/>
      <protection locked="0"/>
    </xf>
    <xf numFmtId="9" fontId="12" fillId="0" borderId="5" xfId="26" applyFont="1" applyFill="1" applyBorder="1" applyProtection="1"/>
    <xf numFmtId="9" fontId="14" fillId="0" borderId="14" xfId="2" applyNumberFormat="1" applyFont="1" applyBorder="1" applyAlignment="1">
      <alignment vertical="center"/>
    </xf>
    <xf numFmtId="9" fontId="9" fillId="5" borderId="9" xfId="2" applyNumberFormat="1" applyFont="1" applyFill="1" applyBorder="1" applyAlignment="1" applyProtection="1">
      <alignment vertical="center"/>
      <protection locked="0"/>
    </xf>
    <xf numFmtId="0" fontId="9" fillId="0" borderId="1" xfId="5" applyFont="1" applyBorder="1" applyAlignment="1">
      <alignment horizontal="center" textRotation="90" wrapText="1"/>
    </xf>
    <xf numFmtId="0" fontId="9" fillId="0" borderId="3" xfId="5" applyFont="1" applyBorder="1" applyAlignment="1">
      <alignment horizontal="center" textRotation="90" wrapText="1"/>
    </xf>
    <xf numFmtId="0" fontId="12" fillId="0" borderId="1" xfId="5" applyFont="1" applyBorder="1" applyAlignment="1">
      <alignment horizontal="center" textRotation="90" wrapText="1"/>
    </xf>
    <xf numFmtId="0" fontId="20" fillId="0" borderId="3" xfId="5" applyFont="1" applyBorder="1" applyAlignment="1">
      <alignment horizontal="center"/>
    </xf>
    <xf numFmtId="168" fontId="9" fillId="0" borderId="24" xfId="3" applyNumberFormat="1" applyBorder="1" applyAlignment="1">
      <alignment vertical="center"/>
    </xf>
    <xf numFmtId="0" fontId="9" fillId="0" borderId="0" xfId="25" applyFont="1" applyBorder="1" applyAlignment="1">
      <alignment horizontal="right" vertical="center"/>
    </xf>
    <xf numFmtId="186" fontId="26" fillId="0" borderId="9" xfId="21" applyNumberFormat="1" applyFont="1" applyBorder="1" applyAlignment="1">
      <alignment horizontal="center" vertical="center"/>
    </xf>
    <xf numFmtId="0" fontId="26" fillId="0" borderId="9" xfId="21" applyFont="1" applyBorder="1" applyAlignment="1">
      <alignment horizontal="left" vertical="center"/>
    </xf>
    <xf numFmtId="0" fontId="26" fillId="2" borderId="1" xfId="6" applyFont="1" applyFill="1" applyBorder="1" applyAlignment="1">
      <alignment horizontal="center" wrapText="1"/>
    </xf>
    <xf numFmtId="0" fontId="26" fillId="2" borderId="3" xfId="6" applyFont="1" applyFill="1" applyBorder="1" applyAlignment="1">
      <alignment wrapText="1"/>
    </xf>
    <xf numFmtId="0" fontId="26" fillId="0" borderId="0" xfId="6" applyFont="1"/>
    <xf numFmtId="182" fontId="9" fillId="2" borderId="9" xfId="23" quotePrefix="1" applyNumberFormat="1" applyFill="1" applyBorder="1" applyAlignment="1">
      <alignment horizontal="center" vertical="center" wrapText="1"/>
    </xf>
    <xf numFmtId="0" fontId="26" fillId="0" borderId="21" xfId="6" applyFont="1" applyBorder="1" applyAlignment="1">
      <alignment wrapText="1"/>
    </xf>
    <xf numFmtId="0" fontId="26" fillId="0" borderId="22" xfId="6" applyFont="1" applyBorder="1" applyAlignment="1">
      <alignment wrapText="1"/>
    </xf>
    <xf numFmtId="0" fontId="9" fillId="2" borderId="1" xfId="22" applyFont="1" applyFill="1" applyBorder="1" applyAlignment="1">
      <alignment horizontal="center" textRotation="90" wrapText="1"/>
    </xf>
    <xf numFmtId="0" fontId="43" fillId="2" borderId="3" xfId="22" applyFont="1" applyFill="1" applyBorder="1"/>
    <xf numFmtId="167" fontId="9" fillId="2" borderId="9" xfId="23" applyNumberFormat="1" applyFill="1" applyBorder="1" applyAlignment="1">
      <alignment horizontal="center" wrapText="1"/>
    </xf>
    <xf numFmtId="0" fontId="7" fillId="0" borderId="0" xfId="6"/>
    <xf numFmtId="3" fontId="9" fillId="0" borderId="9" xfId="2" applyNumberFormat="1" applyFont="1" applyBorder="1" applyAlignment="1">
      <alignment vertical="center"/>
    </xf>
    <xf numFmtId="175" fontId="10" fillId="0" borderId="9" xfId="2" applyNumberFormat="1" applyFont="1" applyBorder="1" applyAlignment="1">
      <alignment horizontal="right" vertical="center"/>
    </xf>
    <xf numFmtId="175" fontId="9" fillId="0" borderId="9" xfId="2" applyNumberFormat="1" applyFont="1" applyBorder="1" applyAlignment="1">
      <alignment horizontal="right" vertical="center"/>
    </xf>
    <xf numFmtId="0" fontId="10" fillId="0" borderId="0" xfId="3" applyFont="1" applyProtection="1">
      <protection locked="0"/>
    </xf>
    <xf numFmtId="184" fontId="9" fillId="0" borderId="30" xfId="23" applyNumberFormat="1" applyBorder="1" applyAlignment="1">
      <alignment horizontal="center" vertical="center" wrapText="1"/>
    </xf>
    <xf numFmtId="188" fontId="10" fillId="0" borderId="9" xfId="3" applyNumberFormat="1" applyFont="1" applyBorder="1" applyAlignment="1">
      <alignment horizontal="right" vertical="center"/>
    </xf>
    <xf numFmtId="0" fontId="9" fillId="9" borderId="9" xfId="25" applyFont="1" applyFill="1" applyBorder="1" applyAlignment="1" applyProtection="1">
      <alignment horizontal="right"/>
      <protection locked="0"/>
    </xf>
    <xf numFmtId="0" fontId="9" fillId="0" borderId="0" xfId="3" applyAlignment="1">
      <alignment horizontal="right" vertical="center"/>
    </xf>
    <xf numFmtId="0" fontId="9" fillId="0" borderId="0" xfId="0" applyFont="1" applyAlignment="1">
      <alignment horizontal="right"/>
    </xf>
    <xf numFmtId="0" fontId="9" fillId="0" borderId="0" xfId="3" applyAlignment="1">
      <alignment horizontal="right"/>
    </xf>
    <xf numFmtId="164" fontId="9" fillId="6" borderId="18" xfId="3" applyNumberFormat="1" applyFill="1" applyBorder="1" applyAlignment="1" applyProtection="1">
      <alignment horizontal="right" vertical="center"/>
      <protection locked="0"/>
    </xf>
    <xf numFmtId="2" fontId="9" fillId="6" borderId="60" xfId="3" applyNumberFormat="1" applyFill="1" applyBorder="1" applyAlignment="1" applyProtection="1">
      <alignment horizontal="right" vertical="center"/>
      <protection locked="0"/>
    </xf>
    <xf numFmtId="164" fontId="9" fillId="6" borderId="61" xfId="3" applyNumberFormat="1" applyFill="1" applyBorder="1" applyAlignment="1" applyProtection="1">
      <alignment horizontal="right" vertical="center"/>
      <protection locked="0"/>
    </xf>
    <xf numFmtId="2" fontId="9" fillId="0" borderId="62" xfId="3" applyNumberFormat="1" applyBorder="1" applyAlignment="1">
      <alignment horizontal="right" vertical="center"/>
    </xf>
    <xf numFmtId="0" fontId="9" fillId="5" borderId="0" xfId="3" applyFill="1" applyAlignment="1">
      <alignment horizontal="right"/>
    </xf>
    <xf numFmtId="164" fontId="9" fillId="7" borderId="18" xfId="3" applyNumberFormat="1" applyFill="1" applyBorder="1" applyAlignment="1" applyProtection="1">
      <alignment horizontal="right" vertical="center"/>
      <protection locked="0"/>
    </xf>
    <xf numFmtId="2" fontId="9" fillId="7" borderId="60" xfId="3" applyNumberFormat="1" applyFill="1" applyBorder="1" applyAlignment="1" applyProtection="1">
      <alignment horizontal="right" vertical="center"/>
      <protection locked="0"/>
    </xf>
    <xf numFmtId="164" fontId="9" fillId="7" borderId="61" xfId="3" applyNumberFormat="1" applyFill="1" applyBorder="1" applyAlignment="1" applyProtection="1">
      <alignment horizontal="right" vertical="center"/>
      <protection locked="0"/>
    </xf>
    <xf numFmtId="0" fontId="9" fillId="10" borderId="0" xfId="3" applyFill="1" applyAlignment="1">
      <alignment horizontal="right"/>
    </xf>
    <xf numFmtId="0" fontId="9" fillId="2" borderId="18" xfId="3" applyFill="1" applyBorder="1" applyAlignment="1">
      <alignment horizontal="right" vertical="center"/>
    </xf>
    <xf numFmtId="2" fontId="9" fillId="0" borderId="60" xfId="3" applyNumberFormat="1" applyBorder="1" applyAlignment="1">
      <alignment horizontal="right" vertical="center"/>
    </xf>
    <xf numFmtId="2" fontId="9" fillId="9" borderId="61" xfId="3" applyNumberFormat="1" applyFill="1" applyBorder="1" applyAlignment="1" applyProtection="1">
      <alignment horizontal="right" vertical="center"/>
      <protection locked="0"/>
    </xf>
    <xf numFmtId="0" fontId="9" fillId="2" borderId="9" xfId="3" applyFill="1" applyBorder="1" applyAlignment="1">
      <alignment horizontal="right" vertical="center"/>
    </xf>
    <xf numFmtId="0" fontId="9" fillId="0" borderId="0" xfId="0" applyFont="1"/>
    <xf numFmtId="0" fontId="12" fillId="6" borderId="0" xfId="2" applyFont="1" applyFill="1"/>
    <xf numFmtId="0" fontId="12" fillId="6" borderId="0" xfId="2" applyFont="1" applyFill="1" applyAlignment="1">
      <alignment vertical="center"/>
    </xf>
    <xf numFmtId="2" fontId="9" fillId="0" borderId="9" xfId="3" applyNumberFormat="1" applyBorder="1" applyAlignment="1">
      <alignment horizontal="right" vertical="center"/>
    </xf>
    <xf numFmtId="0" fontId="9" fillId="0" borderId="0" xfId="2" applyFont="1" applyBorder="1" applyAlignment="1">
      <alignment horizontal="center" vertical="center"/>
    </xf>
    <xf numFmtId="9" fontId="9" fillId="6" borderId="9" xfId="26" applyFont="1" applyFill="1" applyBorder="1" applyAlignment="1" applyProtection="1">
      <alignment vertical="center"/>
      <protection locked="0"/>
    </xf>
    <xf numFmtId="9" fontId="9" fillId="4" borderId="9" xfId="2" applyNumberFormat="1" applyFont="1" applyFill="1" applyBorder="1" applyAlignment="1" applyProtection="1">
      <alignment horizontal="right" vertical="center"/>
      <protection locked="0"/>
    </xf>
    <xf numFmtId="0" fontId="14" fillId="12" borderId="0" xfId="2" applyFont="1" applyFill="1"/>
    <xf numFmtId="0" fontId="9" fillId="12" borderId="0" xfId="2" applyFont="1" applyFill="1"/>
    <xf numFmtId="0" fontId="9" fillId="12" borderId="0" xfId="2" applyFont="1" applyFill="1" applyAlignment="1">
      <alignment horizontal="center"/>
    </xf>
    <xf numFmtId="2" fontId="14" fillId="0" borderId="9" xfId="2" applyNumberFormat="1" applyFont="1" applyBorder="1"/>
    <xf numFmtId="2" fontId="9" fillId="0" borderId="0" xfId="2" applyNumberFormat="1" applyFont="1" applyBorder="1"/>
    <xf numFmtId="9" fontId="9" fillId="0" borderId="30" xfId="26" applyFont="1" applyFill="1" applyBorder="1"/>
    <xf numFmtId="0" fontId="14" fillId="0" borderId="0" xfId="2" applyFont="1" applyBorder="1" applyAlignment="1">
      <alignment horizontal="left" indent="1"/>
    </xf>
    <xf numFmtId="0" fontId="14" fillId="0" borderId="7" xfId="2" applyFont="1" applyBorder="1"/>
    <xf numFmtId="0" fontId="9" fillId="12" borderId="29" xfId="2" applyFont="1" applyFill="1" applyBorder="1" applyProtection="1">
      <protection locked="0"/>
    </xf>
    <xf numFmtId="0" fontId="9" fillId="12" borderId="29" xfId="2" applyFont="1" applyFill="1" applyBorder="1"/>
    <xf numFmtId="0" fontId="9" fillId="12" borderId="29" xfId="2" applyFont="1" applyFill="1" applyBorder="1" applyAlignment="1" applyProtection="1">
      <alignment horizontal="center"/>
      <protection locked="0"/>
    </xf>
    <xf numFmtId="9" fontId="9" fillId="12" borderId="64" xfId="2" applyNumberFormat="1" applyFont="1" applyFill="1" applyBorder="1" applyProtection="1">
      <protection locked="0"/>
    </xf>
    <xf numFmtId="9" fontId="9" fillId="12" borderId="29" xfId="2" applyNumberFormat="1" applyFont="1" applyFill="1" applyBorder="1" applyProtection="1">
      <protection locked="0"/>
    </xf>
    <xf numFmtId="9" fontId="9" fillId="0" borderId="0" xfId="2" applyNumberFormat="1" applyFont="1" applyBorder="1" applyAlignment="1">
      <alignment horizontal="center"/>
    </xf>
    <xf numFmtId="0" fontId="9" fillId="12" borderId="44" xfId="2" applyFont="1" applyFill="1" applyBorder="1" applyProtection="1">
      <protection locked="0"/>
    </xf>
    <xf numFmtId="0" fontId="9" fillId="12" borderId="44" xfId="2" applyFont="1" applyFill="1" applyBorder="1"/>
    <xf numFmtId="0" fontId="9" fillId="12" borderId="44" xfId="2" applyFont="1" applyFill="1" applyBorder="1" applyAlignment="1" applyProtection="1">
      <alignment horizontal="center"/>
      <protection locked="0"/>
    </xf>
    <xf numFmtId="9" fontId="9" fillId="12" borderId="65" xfId="2" applyNumberFormat="1" applyFont="1" applyFill="1" applyBorder="1" applyProtection="1">
      <protection locked="0"/>
    </xf>
    <xf numFmtId="9" fontId="9" fillId="12" borderId="44" xfId="2" applyNumberFormat="1" applyFont="1" applyFill="1" applyBorder="1" applyProtection="1">
      <protection locked="0"/>
    </xf>
    <xf numFmtId="0" fontId="12" fillId="7" borderId="0" xfId="2" applyFont="1" applyFill="1"/>
    <xf numFmtId="0" fontId="12" fillId="7" borderId="0" xfId="2" applyFont="1" applyFill="1" applyAlignment="1">
      <alignment vertical="center"/>
    </xf>
    <xf numFmtId="9" fontId="9" fillId="5" borderId="9" xfId="2" applyNumberFormat="1" applyFont="1" applyFill="1" applyBorder="1" applyAlignment="1" applyProtection="1">
      <alignment horizontal="right" vertical="center"/>
      <protection locked="0"/>
    </xf>
    <xf numFmtId="9" fontId="9" fillId="7" borderId="9" xfId="26" applyFont="1" applyFill="1" applyBorder="1" applyAlignment="1" applyProtection="1">
      <alignment vertical="center"/>
      <protection locked="0"/>
    </xf>
    <xf numFmtId="2" fontId="9" fillId="0" borderId="9" xfId="2" applyNumberFormat="1" applyFont="1" applyBorder="1"/>
    <xf numFmtId="2" fontId="14" fillId="0" borderId="1" xfId="2" applyNumberFormat="1" applyFont="1" applyBorder="1"/>
    <xf numFmtId="9" fontId="9" fillId="2" borderId="30" xfId="26" applyFont="1" applyFill="1" applyBorder="1"/>
    <xf numFmtId="9" fontId="9" fillId="11" borderId="29" xfId="2" applyNumberFormat="1" applyFont="1" applyFill="1" applyBorder="1"/>
    <xf numFmtId="9" fontId="9" fillId="11" borderId="44" xfId="2" applyNumberFormat="1" applyFont="1" applyFill="1" applyBorder="1"/>
    <xf numFmtId="1" fontId="9" fillId="0" borderId="9" xfId="2" applyNumberFormat="1" applyFont="1" applyBorder="1" applyAlignment="1">
      <alignment vertical="center"/>
    </xf>
    <xf numFmtId="0" fontId="9" fillId="12" borderId="64" xfId="2" applyFont="1" applyFill="1" applyBorder="1" applyProtection="1">
      <protection locked="0"/>
    </xf>
    <xf numFmtId="0" fontId="9" fillId="12" borderId="65" xfId="2" applyFont="1" applyFill="1" applyBorder="1" applyProtection="1">
      <protection locked="0"/>
    </xf>
    <xf numFmtId="0" fontId="14" fillId="0" borderId="2" xfId="2" applyFont="1" applyBorder="1" applyAlignment="1">
      <alignment horizontal="center"/>
    </xf>
    <xf numFmtId="0" fontId="9" fillId="12" borderId="66" xfId="2" applyFont="1" applyFill="1" applyBorder="1" applyProtection="1">
      <protection locked="0"/>
    </xf>
    <xf numFmtId="0" fontId="9" fillId="12" borderId="67" xfId="2" applyFont="1" applyFill="1" applyBorder="1" applyProtection="1">
      <protection locked="0"/>
    </xf>
    <xf numFmtId="2" fontId="14" fillId="0" borderId="19" xfId="2" applyNumberFormat="1" applyFont="1" applyBorder="1"/>
    <xf numFmtId="0" fontId="10" fillId="0" borderId="18" xfId="2" applyFont="1" applyBorder="1" applyAlignment="1">
      <alignment horizontal="center"/>
    </xf>
    <xf numFmtId="1" fontId="14" fillId="0" borderId="20" xfId="2" applyNumberFormat="1" applyFont="1" applyBorder="1"/>
    <xf numFmtId="9" fontId="12" fillId="7" borderId="0" xfId="2" applyNumberFormat="1" applyFont="1" applyFill="1" applyBorder="1" applyAlignment="1">
      <alignment vertical="center"/>
    </xf>
    <xf numFmtId="0" fontId="14" fillId="0" borderId="0" xfId="2" applyFont="1" applyBorder="1" applyAlignment="1">
      <alignment horizontal="left"/>
    </xf>
    <xf numFmtId="0" fontId="9" fillId="0" borderId="4" xfId="0" applyFont="1" applyBorder="1" applyAlignment="1">
      <alignment horizontal="center" textRotation="90" wrapText="1"/>
    </xf>
    <xf numFmtId="9" fontId="9" fillId="10" borderId="9" xfId="2" applyNumberFormat="1" applyFont="1" applyFill="1" applyBorder="1" applyAlignment="1" applyProtection="1">
      <alignment horizontal="right" vertical="center"/>
      <protection locked="0"/>
    </xf>
    <xf numFmtId="0" fontId="25" fillId="0" borderId="0" xfId="3" applyFont="1" applyAlignment="1">
      <alignment horizontal="right"/>
    </xf>
    <xf numFmtId="0" fontId="9" fillId="0" borderId="0" xfId="3" applyAlignment="1">
      <alignment horizontal="left" vertical="top"/>
    </xf>
    <xf numFmtId="0" fontId="9" fillId="0" borderId="40" xfId="3" applyBorder="1" applyAlignment="1">
      <alignment horizontal="center" textRotation="90" wrapText="1"/>
    </xf>
    <xf numFmtId="0" fontId="9" fillId="0" borderId="50" xfId="0" applyFont="1" applyBorder="1" applyAlignment="1">
      <alignment horizontal="center" textRotation="90" wrapText="1"/>
    </xf>
    <xf numFmtId="0" fontId="9" fillId="0" borderId="51" xfId="3" applyBorder="1" applyAlignment="1">
      <alignment horizontal="center" textRotation="90" wrapText="1"/>
    </xf>
    <xf numFmtId="0" fontId="9" fillId="0" borderId="3" xfId="3" applyBorder="1" applyAlignment="1">
      <alignment horizontal="left" vertical="top"/>
    </xf>
    <xf numFmtId="0" fontId="9" fillId="0" borderId="21" xfId="0" applyFont="1" applyBorder="1" applyAlignment="1">
      <alignment horizontal="center" vertical="top" wrapText="1"/>
    </xf>
    <xf numFmtId="0" fontId="9" fillId="0" borderId="43" xfId="0" applyFont="1" applyBorder="1" applyAlignment="1">
      <alignment horizontal="center" vertical="top" wrapText="1"/>
    </xf>
    <xf numFmtId="0" fontId="9" fillId="0" borderId="52" xfId="0" applyFont="1" applyBorder="1" applyAlignment="1">
      <alignment horizontal="center" vertical="top" wrapText="1"/>
    </xf>
    <xf numFmtId="0" fontId="9" fillId="0" borderId="22" xfId="0" applyFont="1" applyBorder="1" applyAlignment="1">
      <alignment horizontal="center" vertical="top" wrapText="1"/>
    </xf>
    <xf numFmtId="0" fontId="9" fillId="0" borderId="53" xfId="3" applyBorder="1" applyAlignment="1">
      <alignment horizontal="center" vertical="top" wrapText="1"/>
    </xf>
    <xf numFmtId="0" fontId="9" fillId="0" borderId="3" xfId="3" applyBorder="1" applyAlignment="1">
      <alignment horizontal="center" vertical="top" wrapText="1"/>
    </xf>
    <xf numFmtId="0" fontId="12" fillId="0" borderId="0" xfId="28" applyFont="1" applyAlignment="1">
      <alignment horizontal="right" vertical="center"/>
    </xf>
    <xf numFmtId="0" fontId="9" fillId="0" borderId="54" xfId="3" applyBorder="1" applyAlignment="1">
      <alignment horizontal="right" vertical="center"/>
    </xf>
    <xf numFmtId="0" fontId="9" fillId="2" borderId="55" xfId="3" applyFill="1" applyBorder="1" applyAlignment="1">
      <alignment horizontal="right" vertical="center"/>
    </xf>
    <xf numFmtId="0" fontId="9" fillId="0" borderId="57" xfId="3" applyBorder="1" applyAlignment="1">
      <alignment horizontal="right" vertical="center"/>
    </xf>
    <xf numFmtId="0" fontId="9" fillId="2" borderId="56" xfId="3" applyFill="1" applyBorder="1" applyAlignment="1">
      <alignment horizontal="right" vertical="center"/>
    </xf>
    <xf numFmtId="0" fontId="9" fillId="2" borderId="58" xfId="3" applyFill="1" applyBorder="1" applyAlignment="1">
      <alignment horizontal="right" vertical="center"/>
    </xf>
    <xf numFmtId="0" fontId="9" fillId="4" borderId="0" xfId="3" applyFill="1" applyAlignment="1">
      <alignment horizontal="right"/>
    </xf>
    <xf numFmtId="178" fontId="9" fillId="11" borderId="18" xfId="20" applyNumberFormat="1" applyFont="1" applyFill="1" applyBorder="1" applyAlignment="1" applyProtection="1">
      <alignment horizontal="center" vertical="center"/>
    </xf>
    <xf numFmtId="178" fontId="9" fillId="11" borderId="19" xfId="20" applyNumberFormat="1" applyFont="1" applyFill="1" applyBorder="1" applyAlignment="1" applyProtection="1">
      <alignment horizontal="center" vertical="center"/>
    </xf>
    <xf numFmtId="9" fontId="9" fillId="0" borderId="9" xfId="26" applyFont="1" applyFill="1" applyBorder="1" applyAlignment="1">
      <alignment vertical="center"/>
    </xf>
    <xf numFmtId="0" fontId="9" fillId="0" borderId="28" xfId="25" applyFont="1" applyBorder="1" applyAlignment="1">
      <alignment horizontal="center"/>
    </xf>
    <xf numFmtId="0" fontId="9" fillId="0" borderId="0" xfId="25" applyFont="1" applyBorder="1" applyAlignment="1">
      <alignment horizontal="right"/>
    </xf>
    <xf numFmtId="3" fontId="14" fillId="0" borderId="0" xfId="25" applyNumberFormat="1" applyFont="1" applyBorder="1"/>
    <xf numFmtId="9" fontId="9" fillId="0" borderId="0" xfId="26" applyFont="1" applyBorder="1" applyAlignment="1"/>
    <xf numFmtId="0" fontId="14" fillId="0" borderId="0" xfId="25" applyFont="1" applyBorder="1"/>
    <xf numFmtId="0" fontId="14" fillId="0" borderId="2" xfId="25" applyFont="1" applyBorder="1" applyAlignment="1">
      <alignment horizontal="center"/>
    </xf>
    <xf numFmtId="0" fontId="9" fillId="12" borderId="0" xfId="25" applyFont="1" applyFill="1" applyBorder="1"/>
    <xf numFmtId="0" fontId="14" fillId="0" borderId="28" xfId="25" applyFont="1" applyBorder="1"/>
    <xf numFmtId="0" fontId="14" fillId="0" borderId="28" xfId="25" applyFont="1" applyBorder="1" applyAlignment="1">
      <alignment horizontal="center"/>
    </xf>
    <xf numFmtId="0" fontId="14" fillId="0" borderId="3" xfId="25" applyFont="1" applyBorder="1" applyAlignment="1">
      <alignment horizontal="center"/>
    </xf>
    <xf numFmtId="0" fontId="46" fillId="0" borderId="21" xfId="25" applyFont="1" applyBorder="1" applyAlignment="1">
      <alignment horizontal="center"/>
    </xf>
    <xf numFmtId="0" fontId="14" fillId="12" borderId="28" xfId="25" applyFont="1" applyFill="1" applyBorder="1"/>
    <xf numFmtId="0" fontId="9" fillId="12" borderId="28" xfId="25" applyFont="1" applyFill="1" applyBorder="1"/>
    <xf numFmtId="0" fontId="46" fillId="0" borderId="0" xfId="25" applyFont="1" applyBorder="1"/>
    <xf numFmtId="3" fontId="9" fillId="0" borderId="0" xfId="25" applyNumberFormat="1" applyFont="1" applyBorder="1"/>
    <xf numFmtId="9" fontId="9" fillId="0" borderId="2" xfId="26" applyFont="1" applyFill="1" applyBorder="1" applyAlignment="1"/>
    <xf numFmtId="0" fontId="9" fillId="12" borderId="0" xfId="25" applyFont="1" applyFill="1" applyBorder="1" applyProtection="1">
      <protection locked="0"/>
    </xf>
    <xf numFmtId="0" fontId="46" fillId="0" borderId="29" xfId="25" applyFont="1" applyBorder="1"/>
    <xf numFmtId="3" fontId="9" fillId="0" borderId="29" xfId="25" applyNumberFormat="1" applyFont="1" applyBorder="1"/>
    <xf numFmtId="3" fontId="14" fillId="0" borderId="29" xfId="25" applyNumberFormat="1" applyFont="1" applyBorder="1"/>
    <xf numFmtId="9" fontId="9" fillId="0" borderId="66" xfId="26" applyFont="1" applyFill="1" applyBorder="1" applyAlignment="1"/>
    <xf numFmtId="3" fontId="9" fillId="12" borderId="0" xfId="25" applyNumberFormat="1" applyFont="1" applyFill="1" applyBorder="1" applyProtection="1">
      <protection locked="0"/>
    </xf>
    <xf numFmtId="9" fontId="9" fillId="12" borderId="2" xfId="26" applyFont="1" applyFill="1" applyBorder="1" applyAlignment="1" applyProtection="1">
      <protection locked="0"/>
    </xf>
    <xf numFmtId="3" fontId="9" fillId="0" borderId="18" xfId="2" applyNumberFormat="1" applyFont="1" applyBorder="1" applyAlignment="1">
      <alignment vertical="center"/>
    </xf>
    <xf numFmtId="9" fontId="9" fillId="0" borderId="9" xfId="26" applyFont="1" applyFill="1" applyBorder="1" applyAlignment="1" applyProtection="1">
      <alignment vertical="center"/>
    </xf>
    <xf numFmtId="187" fontId="10" fillId="0" borderId="9" xfId="3" applyNumberFormat="1" applyFont="1" applyBorder="1" applyAlignment="1">
      <alignment vertical="center"/>
    </xf>
    <xf numFmtId="179" fontId="9" fillId="0" borderId="9" xfId="3" applyNumberFormat="1" applyBorder="1" applyAlignment="1">
      <alignment vertical="center"/>
    </xf>
    <xf numFmtId="187" fontId="10" fillId="0" borderId="9" xfId="3" applyNumberFormat="1" applyFont="1" applyBorder="1" applyAlignment="1">
      <alignment horizontal="right" vertical="center"/>
    </xf>
    <xf numFmtId="0" fontId="29" fillId="0" borderId="59" xfId="3" applyFont="1" applyBorder="1" applyAlignment="1">
      <alignment horizontal="right" vertical="center"/>
    </xf>
    <xf numFmtId="164" fontId="9" fillId="0" borderId="37" xfId="3" applyNumberFormat="1" applyBorder="1" applyAlignment="1">
      <alignment horizontal="right" vertical="center"/>
    </xf>
    <xf numFmtId="164" fontId="9" fillId="0" borderId="19" xfId="3" applyNumberFormat="1" applyBorder="1" applyAlignment="1">
      <alignment horizontal="right" vertical="center"/>
    </xf>
    <xf numFmtId="0" fontId="9" fillId="0" borderId="15" xfId="0" applyFont="1" applyBorder="1" applyAlignment="1">
      <alignment horizontal="centerContinuous" vertical="center" wrapText="1"/>
    </xf>
    <xf numFmtId="0" fontId="9" fillId="0" borderId="16" xfId="0" applyFont="1" applyBorder="1" applyAlignment="1">
      <alignment horizontal="centerContinuous" vertical="center" wrapText="1"/>
    </xf>
    <xf numFmtId="0" fontId="10" fillId="0" borderId="16" xfId="0" applyFont="1" applyBorder="1" applyAlignment="1">
      <alignment horizontal="centerContinuous" vertical="center" wrapText="1"/>
    </xf>
    <xf numFmtId="0" fontId="10" fillId="0" borderId="20" xfId="0" applyFont="1" applyBorder="1" applyAlignment="1">
      <alignment horizontal="centerContinuous"/>
    </xf>
    <xf numFmtId="0" fontId="10" fillId="0" borderId="0" xfId="0" applyFont="1" applyAlignment="1">
      <alignment horizontal="centerContinuous"/>
    </xf>
    <xf numFmtId="168" fontId="20" fillId="10" borderId="0" xfId="3" applyNumberFormat="1" applyFont="1" applyFill="1" applyAlignment="1">
      <alignment vertical="center"/>
    </xf>
    <xf numFmtId="0" fontId="9" fillId="0" borderId="1" xfId="5" quotePrefix="1" applyFont="1" applyBorder="1" applyAlignment="1">
      <alignment horizontal="center" textRotation="90" wrapText="1"/>
    </xf>
    <xf numFmtId="166" fontId="9" fillId="0" borderId="9" xfId="2" applyNumberFormat="1" applyFont="1" applyBorder="1" applyAlignment="1">
      <alignment horizontal="right" vertical="center"/>
    </xf>
    <xf numFmtId="2" fontId="9" fillId="0" borderId="9" xfId="2" applyNumberFormat="1" applyFont="1" applyBorder="1" applyAlignment="1">
      <alignment vertical="center"/>
    </xf>
    <xf numFmtId="4" fontId="9" fillId="0" borderId="9" xfId="2" applyNumberFormat="1" applyFont="1" applyBorder="1" applyAlignment="1">
      <alignment horizontal="right"/>
    </xf>
    <xf numFmtId="168" fontId="26" fillId="0" borderId="9" xfId="21" applyNumberFormat="1" applyFont="1" applyBorder="1" applyAlignment="1">
      <alignment horizontal="center" vertical="center"/>
    </xf>
    <xf numFmtId="183" fontId="9" fillId="0" borderId="9" xfId="23" applyNumberFormat="1" applyBorder="1" applyAlignment="1">
      <alignment horizontal="center" vertical="center" wrapText="1"/>
    </xf>
    <xf numFmtId="2" fontId="10" fillId="0" borderId="18" xfId="3" applyNumberFormat="1" applyFont="1" applyBorder="1" applyAlignment="1">
      <alignment horizontal="right" vertical="center"/>
    </xf>
    <xf numFmtId="167" fontId="29" fillId="0" borderId="37" xfId="3" applyNumberFormat="1" applyFont="1" applyBorder="1" applyAlignment="1">
      <alignment horizontal="right" vertical="center"/>
    </xf>
    <xf numFmtId="169" fontId="10" fillId="0" borderId="9" xfId="3" applyNumberFormat="1" applyFont="1" applyBorder="1" applyAlignment="1">
      <alignment horizontal="right" vertical="center"/>
    </xf>
    <xf numFmtId="167" fontId="10" fillId="0" borderId="18" xfId="3" applyNumberFormat="1" applyFont="1" applyBorder="1" applyAlignment="1">
      <alignment vertical="center"/>
    </xf>
    <xf numFmtId="179" fontId="10" fillId="0" borderId="9" xfId="3" applyNumberFormat="1" applyFont="1" applyBorder="1" applyAlignment="1">
      <alignment vertical="center"/>
    </xf>
    <xf numFmtId="0" fontId="9" fillId="12" borderId="29" xfId="2" applyFont="1" applyFill="1" applyBorder="1" applyAlignment="1">
      <alignment horizontal="center"/>
    </xf>
    <xf numFmtId="0" fontId="9" fillId="12" borderId="44" xfId="2" applyFont="1" applyFill="1" applyBorder="1" applyAlignment="1">
      <alignment horizontal="center"/>
    </xf>
    <xf numFmtId="0" fontId="43" fillId="0" borderId="0" xfId="3" applyFont="1"/>
    <xf numFmtId="0" fontId="43" fillId="0" borderId="0" xfId="3" applyFont="1" applyAlignment="1">
      <alignment horizontal="left" vertical="center"/>
    </xf>
    <xf numFmtId="0" fontId="9" fillId="0" borderId="4" xfId="2" applyFont="1" applyBorder="1"/>
    <xf numFmtId="0" fontId="9" fillId="0" borderId="5" xfId="2" applyFont="1" applyBorder="1"/>
    <xf numFmtId="0" fontId="9" fillId="0" borderId="8" xfId="2" applyFont="1" applyBorder="1" applyAlignment="1">
      <alignment vertical="center"/>
    </xf>
    <xf numFmtId="0" fontId="14" fillId="13" borderId="0" xfId="2" applyFont="1" applyFill="1" applyBorder="1" applyAlignment="1" applyProtection="1">
      <alignment vertical="center"/>
      <protection locked="0"/>
    </xf>
    <xf numFmtId="0" fontId="14" fillId="13" borderId="0" xfId="2" applyFont="1" applyFill="1" applyAlignment="1" applyProtection="1">
      <alignment vertical="center"/>
      <protection locked="0"/>
    </xf>
    <xf numFmtId="0" fontId="48" fillId="0" borderId="0" xfId="2" applyFont="1" applyBorder="1" applyAlignment="1">
      <alignment vertical="center"/>
    </xf>
    <xf numFmtId="0" fontId="49" fillId="0" borderId="0" xfId="2" applyFont="1" applyBorder="1" applyAlignment="1">
      <alignment vertical="center"/>
    </xf>
    <xf numFmtId="0" fontId="49" fillId="0" borderId="0" xfId="2" applyFont="1" applyBorder="1" applyAlignment="1">
      <alignment horizontal="right" indent="1"/>
    </xf>
    <xf numFmtId="164" fontId="9" fillId="0" borderId="9" xfId="2" applyNumberFormat="1" applyFont="1" applyBorder="1" applyAlignment="1">
      <alignment vertical="center"/>
    </xf>
    <xf numFmtId="0" fontId="49" fillId="0" borderId="0" xfId="2" applyFont="1" applyAlignment="1">
      <alignment vertical="center"/>
    </xf>
    <xf numFmtId="0" fontId="49" fillId="0" borderId="0" xfId="2" applyFont="1" applyBorder="1" applyAlignment="1">
      <alignment horizontal="right" vertical="center" indent="1"/>
    </xf>
    <xf numFmtId="9" fontId="9" fillId="0" borderId="9" xfId="2" applyNumberFormat="1" applyFont="1" applyBorder="1" applyAlignment="1">
      <alignment horizontal="right" vertical="center"/>
    </xf>
    <xf numFmtId="0" fontId="49" fillId="0" borderId="0" xfId="2" applyFont="1" applyBorder="1"/>
    <xf numFmtId="0" fontId="49" fillId="0" borderId="0" xfId="2" applyFont="1"/>
    <xf numFmtId="0" fontId="9" fillId="0" borderId="15" xfId="2" applyFont="1" applyBorder="1" applyAlignment="1">
      <alignment vertical="center"/>
    </xf>
    <xf numFmtId="0" fontId="9" fillId="0" borderId="16" xfId="2" applyFont="1" applyBorder="1" applyAlignment="1">
      <alignment vertical="center"/>
    </xf>
    <xf numFmtId="0" fontId="9" fillId="0" borderId="17" xfId="2" applyFont="1" applyBorder="1" applyAlignment="1">
      <alignment vertical="center"/>
    </xf>
    <xf numFmtId="0" fontId="50" fillId="0" borderId="0" xfId="3" applyFont="1" applyAlignment="1" applyProtection="1">
      <alignment horizontal="left" vertical="center"/>
      <protection locked="0"/>
    </xf>
    <xf numFmtId="0" fontId="50" fillId="0" borderId="0" xfId="3" applyFont="1" applyAlignment="1">
      <alignment horizontal="left" vertical="center"/>
    </xf>
    <xf numFmtId="0" fontId="14" fillId="0" borderId="0" xfId="2" applyFont="1" applyBorder="1" applyAlignment="1">
      <alignment vertical="center"/>
    </xf>
    <xf numFmtId="0" fontId="9" fillId="9" borderId="0" xfId="25" applyFont="1" applyFill="1" applyBorder="1" applyAlignment="1" applyProtection="1">
      <alignment horizontal="left" vertical="center"/>
      <protection locked="0"/>
    </xf>
    <xf numFmtId="0" fontId="9" fillId="9" borderId="0" xfId="10" applyFont="1" applyFill="1" applyBorder="1" applyAlignment="1" applyProtection="1">
      <alignment horizontal="left" vertical="center"/>
      <protection locked="0"/>
    </xf>
    <xf numFmtId="0" fontId="25" fillId="0" borderId="0" xfId="3" applyFont="1"/>
    <xf numFmtId="165" fontId="12" fillId="0" borderId="0" xfId="25" applyNumberFormat="1" applyFont="1" applyBorder="1" applyAlignment="1">
      <alignment horizontal="left" vertical="center"/>
    </xf>
    <xf numFmtId="0" fontId="14" fillId="14" borderId="0" xfId="3" applyFont="1" applyFill="1" applyAlignment="1">
      <alignment vertical="center"/>
    </xf>
    <xf numFmtId="0" fontId="9" fillId="14" borderId="0" xfId="3" applyFill="1"/>
    <xf numFmtId="168" fontId="20" fillId="14" borderId="0" xfId="3" applyNumberFormat="1" applyFont="1" applyFill="1" applyAlignment="1">
      <alignment vertical="center"/>
    </xf>
    <xf numFmtId="0" fontId="51" fillId="0" borderId="0" xfId="3" applyFont="1" applyAlignment="1">
      <alignment vertical="center"/>
    </xf>
    <xf numFmtId="9" fontId="12" fillId="0" borderId="0" xfId="25" applyNumberFormat="1" applyFont="1" applyBorder="1" applyAlignment="1">
      <alignment horizontal="left" vertical="center"/>
    </xf>
    <xf numFmtId="0" fontId="52" fillId="0" borderId="0" xfId="30" applyFont="1"/>
    <xf numFmtId="0" fontId="53" fillId="0" borderId="0" xfId="30" applyFont="1"/>
    <xf numFmtId="0" fontId="54" fillId="0" borderId="0" xfId="30" applyFont="1"/>
    <xf numFmtId="0" fontId="55" fillId="0" borderId="39" xfId="30" applyFont="1" applyBorder="1" applyAlignment="1">
      <alignment vertical="center"/>
    </xf>
    <xf numFmtId="0" fontId="55" fillId="0" borderId="0" xfId="30" applyFont="1" applyAlignment="1">
      <alignment vertical="center"/>
    </xf>
    <xf numFmtId="0" fontId="55" fillId="0" borderId="70" xfId="30" applyFont="1" applyBorder="1" applyAlignment="1">
      <alignment vertical="center"/>
    </xf>
    <xf numFmtId="0" fontId="55" fillId="0" borderId="39" xfId="30" applyFont="1" applyBorder="1" applyAlignment="1">
      <alignment horizontal="centerContinuous" vertical="center" wrapText="1"/>
    </xf>
    <xf numFmtId="0" fontId="55" fillId="0" borderId="0" xfId="30" applyFont="1" applyAlignment="1">
      <alignment horizontal="centerContinuous" vertical="center" wrapText="1"/>
    </xf>
    <xf numFmtId="0" fontId="55" fillId="0" borderId="70" xfId="30" applyFont="1" applyBorder="1" applyAlignment="1">
      <alignment horizontal="centerContinuous" vertical="center" wrapText="1"/>
    </xf>
    <xf numFmtId="0" fontId="55" fillId="0" borderId="39" xfId="30" applyFont="1" applyBorder="1" applyAlignment="1">
      <alignment horizontal="center" vertical="center" wrapText="1"/>
    </xf>
    <xf numFmtId="0" fontId="54" fillId="0" borderId="39" xfId="30" applyFont="1" applyBorder="1"/>
    <xf numFmtId="0" fontId="55" fillId="0" borderId="39" xfId="30" applyFont="1" applyBorder="1" applyAlignment="1">
      <alignment horizontal="centerContinuous" vertical="center"/>
    </xf>
    <xf numFmtId="0" fontId="55" fillId="0" borderId="0" xfId="30" applyFont="1" applyAlignment="1">
      <alignment horizontal="centerContinuous" vertical="center"/>
    </xf>
    <xf numFmtId="0" fontId="55" fillId="0" borderId="70" xfId="30" applyFont="1" applyBorder="1" applyAlignment="1">
      <alignment horizontal="centerContinuous" vertical="center"/>
    </xf>
    <xf numFmtId="0" fontId="55" fillId="0" borderId="63" xfId="30" applyFont="1" applyBorder="1" applyAlignment="1">
      <alignment vertical="center"/>
    </xf>
    <xf numFmtId="0" fontId="55" fillId="0" borderId="63" xfId="30" applyFont="1" applyBorder="1" applyAlignment="1">
      <alignment horizontal="centerContinuous" vertical="center" wrapText="1"/>
    </xf>
    <xf numFmtId="0" fontId="54" fillId="0" borderId="39" xfId="30" applyFont="1" applyBorder="1" applyAlignment="1">
      <alignment horizontal="center" vertical="center" wrapText="1"/>
    </xf>
    <xf numFmtId="0" fontId="54" fillId="0" borderId="71" xfId="30" applyFont="1" applyBorder="1"/>
    <xf numFmtId="0" fontId="54" fillId="0" borderId="28" xfId="30" applyFont="1" applyBorder="1" applyAlignment="1">
      <alignment wrapText="1"/>
    </xf>
    <xf numFmtId="0" fontId="54" fillId="0" borderId="72" xfId="30" applyFont="1" applyBorder="1"/>
    <xf numFmtId="0" fontId="54" fillId="0" borderId="28" xfId="30" applyFont="1" applyBorder="1"/>
    <xf numFmtId="0" fontId="54" fillId="0" borderId="28" xfId="30" applyFont="1" applyBorder="1" applyAlignment="1">
      <alignment horizontal="center"/>
    </xf>
    <xf numFmtId="0" fontId="54" fillId="0" borderId="71" xfId="30" applyFont="1" applyBorder="1" applyAlignment="1">
      <alignment horizontal="center" wrapText="1"/>
    </xf>
    <xf numFmtId="0" fontId="54" fillId="0" borderId="28" xfId="30" applyFont="1" applyBorder="1" applyAlignment="1">
      <alignment horizontal="center" wrapText="1"/>
    </xf>
    <xf numFmtId="0" fontId="55" fillId="0" borderId="28" xfId="30" applyFont="1" applyBorder="1" applyAlignment="1">
      <alignment horizontal="center" wrapText="1"/>
    </xf>
    <xf numFmtId="0" fontId="55" fillId="0" borderId="68" xfId="30" applyFont="1" applyBorder="1" applyAlignment="1">
      <alignment horizontal="center" wrapText="1"/>
    </xf>
    <xf numFmtId="0" fontId="55" fillId="0" borderId="28" xfId="30" applyFont="1" applyBorder="1" applyAlignment="1">
      <alignment horizontal="center"/>
    </xf>
    <xf numFmtId="0" fontId="54" fillId="0" borderId="68" xfId="30" applyFont="1" applyBorder="1" applyAlignment="1">
      <alignment wrapText="1"/>
    </xf>
    <xf numFmtId="0" fontId="55" fillId="0" borderId="72" xfId="30" applyFont="1" applyBorder="1" applyAlignment="1">
      <alignment horizontal="center" wrapText="1"/>
    </xf>
    <xf numFmtId="0" fontId="54" fillId="6" borderId="71" xfId="30" applyFont="1" applyFill="1" applyBorder="1" applyAlignment="1" applyProtection="1">
      <alignment horizontal="center" wrapText="1"/>
      <protection locked="0"/>
    </xf>
    <xf numFmtId="0" fontId="54" fillId="0" borderId="39" xfId="30" applyFont="1" applyBorder="1" applyProtection="1">
      <protection locked="0"/>
    </xf>
    <xf numFmtId="0" fontId="54" fillId="0" borderId="0" xfId="30" applyFont="1" applyProtection="1">
      <protection locked="0"/>
    </xf>
    <xf numFmtId="0" fontId="54" fillId="0" borderId="70" xfId="30" applyFont="1" applyBorder="1" applyProtection="1">
      <protection locked="0"/>
    </xf>
    <xf numFmtId="0" fontId="54" fillId="0" borderId="0" xfId="30" applyFont="1" applyAlignment="1" applyProtection="1">
      <alignment horizontal="center"/>
      <protection locked="0"/>
    </xf>
    <xf numFmtId="3" fontId="54" fillId="0" borderId="74" xfId="30" applyNumberFormat="1" applyFont="1" applyBorder="1" applyProtection="1">
      <protection locked="0"/>
    </xf>
    <xf numFmtId="3" fontId="54" fillId="0" borderId="23" xfId="30" applyNumberFormat="1" applyFont="1" applyBorder="1" applyProtection="1">
      <protection locked="0"/>
    </xf>
    <xf numFmtId="3" fontId="55" fillId="12" borderId="23" xfId="30" applyNumberFormat="1" applyFont="1" applyFill="1" applyBorder="1"/>
    <xf numFmtId="165" fontId="54" fillId="0" borderId="63" xfId="31" applyNumberFormat="1" applyFont="1" applyBorder="1" applyProtection="1">
      <protection locked="0"/>
    </xf>
    <xf numFmtId="0" fontId="54" fillId="0" borderId="63" xfId="30" applyFont="1" applyBorder="1" applyProtection="1">
      <protection locked="0"/>
    </xf>
    <xf numFmtId="0" fontId="55" fillId="12" borderId="70" xfId="30" applyFont="1" applyFill="1" applyBorder="1"/>
    <xf numFmtId="9" fontId="54" fillId="12" borderId="70" xfId="31" applyFont="1" applyFill="1" applyBorder="1"/>
    <xf numFmtId="0" fontId="54" fillId="0" borderId="0" xfId="31" applyNumberFormat="1" applyFont="1" applyFill="1" applyBorder="1" applyProtection="1">
      <protection locked="0"/>
    </xf>
    <xf numFmtId="9" fontId="54" fillId="0" borderId="0" xfId="31" applyFont="1" applyFill="1" applyBorder="1" applyProtection="1">
      <protection locked="0"/>
    </xf>
    <xf numFmtId="3" fontId="55" fillId="12" borderId="39" xfId="30" applyNumberFormat="1" applyFont="1" applyFill="1" applyBorder="1"/>
    <xf numFmtId="1" fontId="54" fillId="0" borderId="39" xfId="30" applyNumberFormat="1" applyFont="1" applyBorder="1"/>
    <xf numFmtId="1" fontId="54" fillId="0" borderId="0" xfId="30" applyNumberFormat="1" applyFont="1"/>
    <xf numFmtId="3" fontId="54" fillId="0" borderId="39" xfId="30" applyNumberFormat="1" applyFont="1" applyBorder="1" applyProtection="1">
      <protection locked="0"/>
    </xf>
    <xf numFmtId="3" fontId="54" fillId="0" borderId="0" xfId="30" applyNumberFormat="1" applyFont="1" applyProtection="1">
      <protection locked="0"/>
    </xf>
    <xf numFmtId="3" fontId="55" fillId="12" borderId="0" xfId="30" applyNumberFormat="1" applyFont="1" applyFill="1"/>
    <xf numFmtId="165" fontId="54" fillId="0" borderId="63" xfId="31" applyNumberFormat="1" applyFont="1" applyFill="1" applyBorder="1" applyProtection="1">
      <protection locked="0"/>
    </xf>
    <xf numFmtId="4" fontId="54" fillId="0" borderId="39" xfId="30" applyNumberFormat="1" applyFont="1" applyBorder="1" applyProtection="1">
      <protection locked="0"/>
    </xf>
    <xf numFmtId="0" fontId="55" fillId="0" borderId="0" xfId="30" applyFont="1" applyProtection="1">
      <protection locked="0"/>
    </xf>
    <xf numFmtId="3" fontId="55" fillId="12" borderId="45" xfId="30" applyNumberFormat="1" applyFont="1" applyFill="1" applyBorder="1"/>
    <xf numFmtId="0" fontId="55" fillId="0" borderId="45" xfId="30" applyFont="1" applyBorder="1" applyAlignment="1">
      <alignment vertical="center"/>
    </xf>
    <xf numFmtId="0" fontId="55" fillId="0" borderId="73" xfId="30" applyFont="1" applyBorder="1"/>
    <xf numFmtId="0" fontId="54" fillId="0" borderId="68" xfId="30" applyFont="1" applyBorder="1" applyAlignment="1">
      <alignment horizontal="center"/>
    </xf>
    <xf numFmtId="0" fontId="55" fillId="0" borderId="77" xfId="30" applyFont="1" applyBorder="1" applyAlignment="1">
      <alignment horizontal="center" wrapText="1"/>
    </xf>
    <xf numFmtId="0" fontId="54" fillId="12" borderId="45" xfId="30" applyFont="1" applyFill="1" applyBorder="1" applyProtection="1">
      <protection locked="0"/>
    </xf>
    <xf numFmtId="9" fontId="54" fillId="0" borderId="39" xfId="31" applyFont="1" applyBorder="1"/>
    <xf numFmtId="3" fontId="54" fillId="0" borderId="63" xfId="30" applyNumberFormat="1" applyFont="1" applyBorder="1"/>
    <xf numFmtId="3" fontId="54" fillId="0" borderId="0" xfId="30" applyNumberFormat="1" applyFont="1"/>
    <xf numFmtId="3" fontId="55" fillId="0" borderId="78" xfId="30" applyNumberFormat="1" applyFont="1" applyBorder="1"/>
    <xf numFmtId="0" fontId="54" fillId="12" borderId="73" xfId="30" applyFont="1" applyFill="1" applyBorder="1" applyProtection="1">
      <protection locked="0"/>
    </xf>
    <xf numFmtId="9" fontId="54" fillId="0" borderId="71" xfId="31" applyFont="1" applyBorder="1"/>
    <xf numFmtId="3" fontId="54" fillId="0" borderId="68" xfId="30" applyNumberFormat="1" applyFont="1" applyBorder="1"/>
    <xf numFmtId="3" fontId="54" fillId="0" borderId="28" xfId="30" applyNumberFormat="1" applyFont="1" applyBorder="1"/>
    <xf numFmtId="3" fontId="54" fillId="0" borderId="69" xfId="30" applyNumberFormat="1" applyFont="1" applyBorder="1"/>
    <xf numFmtId="3" fontId="55" fillId="0" borderId="77" xfId="30" applyNumberFormat="1" applyFont="1" applyBorder="1"/>
    <xf numFmtId="0" fontId="55" fillId="0" borderId="45" xfId="30" applyFont="1" applyBorder="1"/>
    <xf numFmtId="3" fontId="55" fillId="0" borderId="63" xfId="30" applyNumberFormat="1" applyFont="1" applyBorder="1"/>
    <xf numFmtId="3" fontId="55" fillId="0" borderId="0" xfId="30" applyNumberFormat="1" applyFont="1"/>
    <xf numFmtId="0" fontId="43" fillId="0" borderId="35" xfId="32" applyFont="1" applyBorder="1" applyAlignment="1">
      <alignment horizontal="center" wrapText="1"/>
    </xf>
    <xf numFmtId="0" fontId="43" fillId="0" borderId="35" xfId="3" applyFont="1" applyBorder="1" applyAlignment="1">
      <alignment horizontal="left"/>
    </xf>
    <xf numFmtId="49" fontId="43" fillId="0" borderId="36" xfId="33" applyNumberFormat="1" applyFont="1" applyBorder="1" applyAlignment="1">
      <alignment horizontal="center" vertical="center" wrapText="1"/>
    </xf>
    <xf numFmtId="49" fontId="43" fillId="0" borderId="36" xfId="33" applyNumberFormat="1" applyFont="1" applyBorder="1" applyAlignment="1">
      <alignment vertical="center" wrapText="1"/>
    </xf>
    <xf numFmtId="49" fontId="43" fillId="0" borderId="9" xfId="33" applyNumberFormat="1" applyFont="1" applyBorder="1" applyAlignment="1">
      <alignment horizontal="center" vertical="center" wrapText="1"/>
    </xf>
    <xf numFmtId="49" fontId="43" fillId="0" borderId="9" xfId="33" applyNumberFormat="1" applyFont="1" applyBorder="1" applyAlignment="1">
      <alignment vertical="center" wrapText="1"/>
    </xf>
    <xf numFmtId="0" fontId="54" fillId="0" borderId="0" xfId="30" applyFont="1" applyAlignment="1">
      <alignment horizontal="center"/>
    </xf>
    <xf numFmtId="0" fontId="43" fillId="0" borderId="0" xfId="30" applyFont="1" applyAlignment="1">
      <alignment horizontal="center"/>
    </xf>
    <xf numFmtId="0" fontId="56" fillId="0" borderId="0" xfId="30" applyFont="1"/>
    <xf numFmtId="0" fontId="43" fillId="0" borderId="35" xfId="3" applyFont="1" applyBorder="1" applyAlignment="1">
      <alignment horizontal="center" wrapText="1"/>
    </xf>
    <xf numFmtId="0" fontId="43" fillId="0" borderId="0" xfId="3" applyFont="1" applyAlignment="1">
      <alignment wrapText="1"/>
    </xf>
    <xf numFmtId="0" fontId="43" fillId="0" borderId="0" xfId="32" applyFont="1" applyBorder="1" applyAlignment="1">
      <alignment horizontal="center" wrapText="1"/>
    </xf>
    <xf numFmtId="0" fontId="43" fillId="0" borderId="0" xfId="3" applyFont="1" applyAlignment="1">
      <alignment horizontal="left"/>
    </xf>
    <xf numFmtId="0" fontId="43" fillId="0" borderId="0" xfId="3" applyFont="1" applyAlignment="1">
      <alignment horizontal="center"/>
    </xf>
    <xf numFmtId="0" fontId="42" fillId="15" borderId="0" xfId="3" applyFont="1" applyFill="1" applyAlignment="1">
      <alignment horizontal="center" vertical="center"/>
    </xf>
    <xf numFmtId="0" fontId="42" fillId="15" borderId="0" xfId="3" applyFont="1" applyFill="1" applyAlignment="1">
      <alignment vertical="center"/>
    </xf>
    <xf numFmtId="0" fontId="54" fillId="0" borderId="0" xfId="30" quotePrefix="1" applyFont="1"/>
    <xf numFmtId="49" fontId="42" fillId="0" borderId="9" xfId="33" applyNumberFormat="1" applyFont="1" applyBorder="1" applyAlignment="1">
      <alignment vertical="center" wrapText="1"/>
    </xf>
    <xf numFmtId="0" fontId="43" fillId="0" borderId="9" xfId="32" applyFont="1" applyBorder="1" applyAlignment="1">
      <alignment vertical="center" wrapText="1"/>
    </xf>
    <xf numFmtId="49" fontId="43" fillId="0" borderId="9" xfId="33" applyNumberFormat="1" applyFont="1" applyBorder="1" applyAlignment="1">
      <alignment horizontal="left" vertical="center" wrapText="1"/>
    </xf>
    <xf numFmtId="0" fontId="43" fillId="0" borderId="0" xfId="33" applyFont="1" applyAlignment="1">
      <alignment horizontal="center" vertical="center"/>
    </xf>
    <xf numFmtId="166" fontId="43" fillId="0" borderId="0" xfId="3" applyNumberFormat="1" applyFont="1" applyAlignment="1">
      <alignment horizontal="right" vertical="center"/>
    </xf>
    <xf numFmtId="0" fontId="43" fillId="0" borderId="0" xfId="3" applyFont="1" applyAlignment="1">
      <alignment horizontal="right" vertical="center"/>
    </xf>
    <xf numFmtId="0" fontId="43" fillId="0" borderId="0" xfId="3" applyFont="1" applyAlignment="1">
      <alignment vertical="center"/>
    </xf>
    <xf numFmtId="49" fontId="47" fillId="0" borderId="9" xfId="33" applyNumberFormat="1" applyFont="1" applyBorder="1" applyAlignment="1">
      <alignment horizontal="center" vertical="center" wrapText="1"/>
    </xf>
    <xf numFmtId="49" fontId="47" fillId="0" borderId="9" xfId="33" applyNumberFormat="1" applyFont="1" applyBorder="1" applyAlignment="1">
      <alignment horizontal="left" vertical="center" wrapText="1"/>
    </xf>
    <xf numFmtId="0" fontId="47" fillId="0" borderId="9" xfId="32" applyFont="1" applyBorder="1" applyAlignment="1">
      <alignment vertical="center" wrapText="1"/>
    </xf>
    <xf numFmtId="0" fontId="47" fillId="0" borderId="9" xfId="32" applyFont="1" applyBorder="1" applyAlignment="1">
      <alignment horizontal="right" vertical="center" wrapText="1"/>
    </xf>
    <xf numFmtId="0" fontId="47" fillId="0" borderId="1" xfId="32" applyFont="1" applyBorder="1" applyAlignment="1">
      <alignment vertical="center" wrapText="1"/>
    </xf>
    <xf numFmtId="0" fontId="43" fillId="0" borderId="9" xfId="32" quotePrefix="1" applyFont="1" applyBorder="1" applyAlignment="1">
      <alignment vertical="center" wrapText="1"/>
    </xf>
    <xf numFmtId="49" fontId="43" fillId="0" borderId="9" xfId="33" applyNumberFormat="1" applyFont="1" applyBorder="1" applyAlignment="1">
      <alignment horizontal="center" vertical="top" wrapText="1"/>
    </xf>
    <xf numFmtId="49" fontId="42" fillId="0" borderId="9" xfId="33" applyNumberFormat="1" applyFont="1" applyBorder="1" applyAlignment="1">
      <alignment vertical="top" wrapText="1"/>
    </xf>
    <xf numFmtId="0" fontId="54" fillId="0" borderId="9" xfId="30" applyFont="1" applyBorder="1" applyAlignment="1">
      <alignment wrapText="1"/>
    </xf>
    <xf numFmtId="0" fontId="54" fillId="0" borderId="9" xfId="30" applyFont="1" applyBorder="1" applyAlignment="1">
      <alignment horizontal="right" vertical="top" wrapText="1"/>
    </xf>
    <xf numFmtId="49" fontId="43" fillId="0" borderId="9" xfId="33" applyNumberFormat="1" applyFont="1" applyBorder="1" applyAlignment="1">
      <alignment horizontal="left" vertical="top" wrapText="1"/>
    </xf>
    <xf numFmtId="0" fontId="54" fillId="0" borderId="1" xfId="30" applyFont="1" applyBorder="1" applyAlignment="1">
      <alignment wrapText="1"/>
    </xf>
    <xf numFmtId="49" fontId="43" fillId="0" borderId="9" xfId="33" applyNumberFormat="1" applyFont="1" applyBorder="1" applyAlignment="1">
      <alignment vertical="top" wrapText="1"/>
    </xf>
    <xf numFmtId="0" fontId="54" fillId="0" borderId="1" xfId="30" applyFont="1" applyBorder="1" applyAlignment="1">
      <alignment vertical="center" wrapText="1"/>
    </xf>
    <xf numFmtId="0" fontId="54" fillId="0" borderId="1" xfId="30" applyFont="1" applyBorder="1" applyAlignment="1">
      <alignment horizontal="right" vertical="top" wrapText="1"/>
    </xf>
    <xf numFmtId="0" fontId="54" fillId="0" borderId="30" xfId="30" applyFont="1" applyBorder="1" applyAlignment="1">
      <alignment vertical="center" wrapText="1"/>
    </xf>
    <xf numFmtId="0" fontId="43" fillId="0" borderId="9" xfId="32" applyFont="1" applyBorder="1" applyAlignment="1">
      <alignment horizontal="right" vertical="center" wrapText="1"/>
    </xf>
    <xf numFmtId="0" fontId="43" fillId="0" borderId="9" xfId="32" applyFont="1" applyBorder="1" applyAlignment="1">
      <alignment vertical="top" wrapText="1"/>
    </xf>
    <xf numFmtId="0" fontId="43" fillId="0" borderId="9" xfId="32" applyFont="1" applyBorder="1" applyAlignment="1">
      <alignment horizontal="right" vertical="top" wrapText="1"/>
    </xf>
    <xf numFmtId="0" fontId="43" fillId="0" borderId="0" xfId="30" applyFont="1" applyAlignment="1">
      <alignment horizontal="left"/>
    </xf>
    <xf numFmtId="0" fontId="54" fillId="0" borderId="0" xfId="30" applyFont="1" applyAlignment="1">
      <alignment horizontal="left"/>
    </xf>
    <xf numFmtId="0" fontId="9" fillId="0" borderId="7" xfId="3" applyBorder="1" applyAlignment="1">
      <alignment horizontal="left" vertical="center"/>
    </xf>
    <xf numFmtId="0" fontId="9" fillId="0" borderId="0" xfId="3" applyAlignment="1">
      <alignment horizontal="left"/>
    </xf>
    <xf numFmtId="0" fontId="29" fillId="0" borderId="9" xfId="3" applyFont="1" applyBorder="1" applyAlignment="1">
      <alignment horizontal="right" vertical="center"/>
    </xf>
    <xf numFmtId="0" fontId="9" fillId="0" borderId="3" xfId="0" applyFont="1" applyBorder="1" applyAlignment="1">
      <alignment horizontal="center" vertical="top" wrapText="1"/>
    </xf>
    <xf numFmtId="0" fontId="14" fillId="13" borderId="0" xfId="2" applyFont="1" applyFill="1" applyBorder="1" applyAlignment="1">
      <alignment vertical="center"/>
    </xf>
    <xf numFmtId="0" fontId="9" fillId="13" borderId="0" xfId="2" applyFont="1" applyFill="1" applyAlignment="1">
      <alignment vertical="center"/>
    </xf>
    <xf numFmtId="0" fontId="25" fillId="0" borderId="0" xfId="0" applyFont="1" applyAlignment="1">
      <alignment horizontal="right"/>
    </xf>
    <xf numFmtId="0" fontId="16" fillId="0" borderId="0" xfId="3" applyFont="1" applyAlignment="1">
      <alignment horizontal="right" vertical="center"/>
    </xf>
    <xf numFmtId="0" fontId="16" fillId="0" borderId="0" xfId="0" applyFont="1" applyAlignment="1">
      <alignment vertical="center"/>
    </xf>
    <xf numFmtId="0" fontId="25" fillId="0" borderId="0" xfId="3" applyFont="1" applyAlignment="1">
      <alignment horizontal="right" vertical="center"/>
    </xf>
    <xf numFmtId="0" fontId="55" fillId="0" borderId="0" xfId="34" applyFont="1" applyAlignment="1">
      <alignment horizontal="left"/>
    </xf>
    <xf numFmtId="0" fontId="55" fillId="0" borderId="0" xfId="34" applyFont="1" applyAlignment="1">
      <alignment horizontal="center"/>
    </xf>
    <xf numFmtId="0" fontId="54" fillId="0" borderId="0" xfId="34" applyFont="1"/>
    <xf numFmtId="0" fontId="55" fillId="0" borderId="35" xfId="34" applyFont="1" applyBorder="1" applyAlignment="1">
      <alignment horizontal="center"/>
    </xf>
    <xf numFmtId="0" fontId="55" fillId="0" borderId="35" xfId="34" applyFont="1" applyBorder="1" applyAlignment="1">
      <alignment horizontal="left"/>
    </xf>
    <xf numFmtId="16" fontId="54" fillId="0" borderId="9" xfId="34" quotePrefix="1" applyNumberFormat="1" applyFont="1" applyBorder="1" applyAlignment="1">
      <alignment horizontal="right" vertical="top"/>
    </xf>
    <xf numFmtId="0" fontId="43" fillId="0" borderId="9" xfId="34" applyFont="1" applyBorder="1" applyAlignment="1">
      <alignment horizontal="left" vertical="top" wrapText="1"/>
    </xf>
    <xf numFmtId="0" fontId="55" fillId="0" borderId="9" xfId="34" applyFont="1" applyBorder="1" applyAlignment="1">
      <alignment horizontal="left" vertical="top"/>
    </xf>
    <xf numFmtId="16" fontId="54" fillId="0" borderId="0" xfId="34" quotePrefix="1" applyNumberFormat="1" applyFont="1" applyAlignment="1">
      <alignment horizontal="right" vertical="top"/>
    </xf>
    <xf numFmtId="0" fontId="43" fillId="0" borderId="0" xfId="34" applyFont="1" applyAlignment="1">
      <alignment horizontal="left" vertical="top" wrapText="1"/>
    </xf>
    <xf numFmtId="0" fontId="55" fillId="0" borderId="0" xfId="34" applyFont="1" applyAlignment="1">
      <alignment horizontal="left" vertical="top"/>
    </xf>
    <xf numFmtId="0" fontId="54" fillId="0" borderId="9" xfId="34" applyFont="1" applyBorder="1" applyAlignment="1">
      <alignment horizontal="left" vertical="top"/>
    </xf>
    <xf numFmtId="0" fontId="43" fillId="0" borderId="20" xfId="34" applyFont="1" applyBorder="1" applyAlignment="1">
      <alignment horizontal="left" wrapText="1"/>
    </xf>
    <xf numFmtId="0" fontId="57" fillId="0" borderId="0" xfId="34" applyFont="1" applyAlignment="1">
      <alignment vertical="top"/>
    </xf>
    <xf numFmtId="0" fontId="54" fillId="0" borderId="0" xfId="34" applyFont="1" applyAlignment="1">
      <alignment horizontal="left" vertical="top"/>
    </xf>
    <xf numFmtId="0" fontId="43" fillId="0" borderId="0" xfId="34" applyFont="1" applyAlignment="1">
      <alignment horizontal="left" wrapText="1"/>
    </xf>
    <xf numFmtId="16" fontId="54" fillId="0" borderId="1" xfId="34" quotePrefix="1" applyNumberFormat="1" applyFont="1" applyBorder="1" applyAlignment="1">
      <alignment horizontal="right" vertical="top"/>
    </xf>
    <xf numFmtId="0" fontId="54" fillId="0" borderId="1" xfId="34" applyFont="1" applyBorder="1" applyAlignment="1">
      <alignment horizontal="left" vertical="top"/>
    </xf>
    <xf numFmtId="0" fontId="43" fillId="0" borderId="1" xfId="34" applyFont="1" applyBorder="1" applyAlignment="1">
      <alignment horizontal="left" vertical="top" wrapText="1"/>
    </xf>
    <xf numFmtId="0" fontId="54" fillId="0" borderId="0" xfId="34" applyFont="1" applyAlignment="1">
      <alignment horizontal="left"/>
    </xf>
    <xf numFmtId="0" fontId="54" fillId="0" borderId="30" xfId="34" applyFont="1" applyBorder="1"/>
    <xf numFmtId="0" fontId="54" fillId="0" borderId="30" xfId="34" applyFont="1" applyBorder="1" applyAlignment="1">
      <alignment horizontal="left" vertical="top"/>
    </xf>
    <xf numFmtId="0" fontId="43" fillId="0" borderId="30" xfId="34" applyFont="1" applyBorder="1" applyAlignment="1">
      <alignment horizontal="left" vertical="top" wrapText="1"/>
    </xf>
    <xf numFmtId="0" fontId="55" fillId="16" borderId="20" xfId="34" applyFont="1" applyFill="1" applyBorder="1" applyAlignment="1">
      <alignment horizontal="left"/>
    </xf>
    <xf numFmtId="0" fontId="43" fillId="16" borderId="20" xfId="34" applyFont="1" applyFill="1" applyBorder="1" applyAlignment="1">
      <alignment horizontal="left" wrapText="1"/>
    </xf>
    <xf numFmtId="0" fontId="55" fillId="0" borderId="20" xfId="34" applyFont="1" applyBorder="1" applyAlignment="1">
      <alignment horizontal="right"/>
    </xf>
    <xf numFmtId="0" fontId="55" fillId="0" borderId="20" xfId="34" applyFont="1" applyBorder="1" applyAlignment="1">
      <alignment horizontal="left"/>
    </xf>
    <xf numFmtId="0" fontId="42" fillId="0" borderId="20" xfId="34" applyFont="1" applyBorder="1" applyAlignment="1">
      <alignment horizontal="left" wrapText="1"/>
    </xf>
    <xf numFmtId="0" fontId="42" fillId="0" borderId="19" xfId="34" applyFont="1" applyBorder="1" applyAlignment="1">
      <alignment horizontal="left" wrapText="1"/>
    </xf>
    <xf numFmtId="0" fontId="55" fillId="0" borderId="18" xfId="34" applyFont="1" applyBorder="1" applyAlignment="1">
      <alignment horizontal="right"/>
    </xf>
    <xf numFmtId="0" fontId="55" fillId="0" borderId="5" xfId="34" applyFont="1" applyBorder="1" applyAlignment="1">
      <alignment horizontal="left"/>
    </xf>
    <xf numFmtId="16" fontId="54" fillId="0" borderId="30" xfId="34" quotePrefix="1" applyNumberFormat="1" applyFont="1" applyBorder="1" applyAlignment="1">
      <alignment horizontal="right" vertical="top"/>
    </xf>
    <xf numFmtId="0" fontId="54" fillId="0" borderId="9" xfId="34" applyFont="1" applyBorder="1" applyAlignment="1">
      <alignment horizontal="left" vertical="top" wrapText="1"/>
    </xf>
    <xf numFmtId="0" fontId="54" fillId="0" borderId="9" xfId="34" quotePrefix="1" applyFont="1" applyBorder="1" applyAlignment="1">
      <alignment horizontal="right" vertical="top"/>
    </xf>
    <xf numFmtId="0" fontId="54" fillId="0" borderId="1" xfId="34" quotePrefix="1" applyFont="1" applyBorder="1" applyAlignment="1">
      <alignment horizontal="right" vertical="top"/>
    </xf>
    <xf numFmtId="0" fontId="54" fillId="0" borderId="2" xfId="34" quotePrefix="1" applyFont="1" applyBorder="1" applyAlignment="1">
      <alignment horizontal="right" vertical="top"/>
    </xf>
    <xf numFmtId="0" fontId="54" fillId="0" borderId="2" xfId="34" applyFont="1" applyBorder="1" applyAlignment="1">
      <alignment horizontal="left" vertical="top"/>
    </xf>
    <xf numFmtId="0" fontId="55" fillId="0" borderId="2" xfId="34" applyFont="1" applyBorder="1" applyAlignment="1">
      <alignment horizontal="right" vertical="top" wrapText="1"/>
    </xf>
    <xf numFmtId="0" fontId="55" fillId="0" borderId="2" xfId="34" applyFont="1" applyBorder="1" applyAlignment="1">
      <alignment horizontal="left" vertical="top" wrapText="1"/>
    </xf>
    <xf numFmtId="0" fontId="45" fillId="0" borderId="2" xfId="34" applyFont="1" applyBorder="1" applyAlignment="1">
      <alignment horizontal="left" vertical="top" wrapText="1"/>
    </xf>
    <xf numFmtId="0" fontId="43" fillId="0" borderId="2" xfId="34" applyFont="1" applyBorder="1" applyAlignment="1">
      <alignment horizontal="left" vertical="top" wrapText="1"/>
    </xf>
    <xf numFmtId="0" fontId="54" fillId="0" borderId="30" xfId="34" quotePrefix="1" applyFont="1" applyBorder="1" applyAlignment="1">
      <alignment horizontal="right" vertical="top"/>
    </xf>
    <xf numFmtId="0" fontId="54" fillId="0" borderId="0" xfId="34" quotePrefix="1" applyFont="1" applyAlignment="1">
      <alignment horizontal="right" vertical="top"/>
    </xf>
    <xf numFmtId="16" fontId="55" fillId="0" borderId="1" xfId="34" quotePrefix="1" applyNumberFormat="1" applyFont="1" applyBorder="1" applyAlignment="1">
      <alignment horizontal="right" vertical="top"/>
    </xf>
    <xf numFmtId="0" fontId="55" fillId="0" borderId="1" xfId="34" applyFont="1" applyBorder="1" applyAlignment="1">
      <alignment horizontal="left" vertical="top"/>
    </xf>
    <xf numFmtId="0" fontId="43" fillId="0" borderId="5" xfId="34" applyFont="1" applyBorder="1" applyAlignment="1">
      <alignment vertical="top" wrapText="1"/>
    </xf>
    <xf numFmtId="0" fontId="55" fillId="0" borderId="1" xfId="34" quotePrefix="1" applyFont="1" applyBorder="1" applyAlignment="1">
      <alignment horizontal="right" vertical="top"/>
    </xf>
    <xf numFmtId="0" fontId="54" fillId="0" borderId="8" xfId="34" applyFont="1" applyBorder="1" applyAlignment="1">
      <alignment horizontal="left" vertical="top" wrapText="1"/>
    </xf>
    <xf numFmtId="0" fontId="54" fillId="0" borderId="0" xfId="34" applyFont="1" applyAlignment="1">
      <alignment vertical="top"/>
    </xf>
    <xf numFmtId="0" fontId="54" fillId="0" borderId="1" xfId="34" applyFont="1" applyBorder="1" applyAlignment="1">
      <alignment horizontal="left" vertical="top" wrapText="1"/>
    </xf>
    <xf numFmtId="0" fontId="54" fillId="0" borderId="2" xfId="34" applyFont="1" applyBorder="1"/>
    <xf numFmtId="0" fontId="55" fillId="0" borderId="20" xfId="34" quotePrefix="1" applyFont="1" applyBorder="1" applyAlignment="1">
      <alignment horizontal="right"/>
    </xf>
    <xf numFmtId="0" fontId="54" fillId="0" borderId="2" xfId="34" applyFont="1" applyBorder="1" applyAlignment="1">
      <alignment horizontal="left" vertical="top" wrapText="1"/>
    </xf>
    <xf numFmtId="0" fontId="54" fillId="0" borderId="30" xfId="34" applyFont="1" applyBorder="1" applyAlignment="1">
      <alignment horizontal="left" vertical="top" wrapText="1"/>
    </xf>
    <xf numFmtId="0" fontId="55" fillId="0" borderId="0" xfId="34" applyFont="1" applyAlignment="1">
      <alignment horizontal="right"/>
    </xf>
    <xf numFmtId="0" fontId="54" fillId="0" borderId="0" xfId="34" applyFont="1" applyAlignment="1">
      <alignment horizontal="left" vertical="top" wrapText="1"/>
    </xf>
    <xf numFmtId="0" fontId="9" fillId="0" borderId="1" xfId="23" applyBorder="1" applyAlignment="1">
      <alignment horizontal="centerContinuous" vertical="center" wrapText="1"/>
    </xf>
    <xf numFmtId="0" fontId="43" fillId="0" borderId="20" xfId="34" applyFont="1" applyBorder="1" applyAlignment="1">
      <alignment horizontal="left" vertical="top" wrapText="1"/>
    </xf>
    <xf numFmtId="0" fontId="54" fillId="0" borderId="6" xfId="34" applyFont="1" applyBorder="1" applyAlignment="1">
      <alignment horizontal="left" vertical="top" wrapText="1"/>
    </xf>
    <xf numFmtId="0" fontId="54" fillId="0" borderId="28" xfId="29" applyFont="1" applyBorder="1" applyAlignment="1">
      <alignment horizontal="center" wrapText="1"/>
    </xf>
    <xf numFmtId="0" fontId="10" fillId="0" borderId="23" xfId="3" applyFont="1" applyBorder="1" applyProtection="1">
      <protection locked="0"/>
    </xf>
    <xf numFmtId="0" fontId="59" fillId="0" borderId="0" xfId="34" applyFont="1" applyAlignment="1">
      <alignment horizontal="left"/>
    </xf>
    <xf numFmtId="0" fontId="26" fillId="0" borderId="0" xfId="34" applyFont="1"/>
    <xf numFmtId="0" fontId="59" fillId="0" borderId="0" xfId="34" applyFont="1"/>
    <xf numFmtId="0" fontId="60" fillId="0" borderId="0" xfId="34" applyFont="1" applyAlignment="1">
      <alignment vertical="top"/>
    </xf>
    <xf numFmtId="0" fontId="26" fillId="0" borderId="0" xfId="34" applyFont="1" applyAlignment="1">
      <alignment horizontal="left"/>
    </xf>
    <xf numFmtId="0" fontId="43" fillId="0" borderId="1" xfId="3" applyFont="1" applyBorder="1" applyAlignment="1">
      <alignment wrapText="1"/>
    </xf>
    <xf numFmtId="0" fontId="43" fillId="0" borderId="0" xfId="3" applyFont="1" applyAlignment="1">
      <alignment horizontal="left" vertical="top"/>
    </xf>
    <xf numFmtId="0" fontId="43" fillId="0" borderId="1" xfId="3" applyFont="1" applyBorder="1" applyAlignment="1">
      <alignment horizontal="center"/>
    </xf>
    <xf numFmtId="0" fontId="43" fillId="0" borderId="3" xfId="3" applyFont="1" applyBorder="1" applyAlignment="1">
      <alignment horizontal="left" vertical="top"/>
    </xf>
    <xf numFmtId="0" fontId="43" fillId="0" borderId="8" xfId="3" applyFont="1" applyBorder="1" applyAlignment="1">
      <alignment horizontal="left" vertical="top"/>
    </xf>
    <xf numFmtId="0" fontId="43" fillId="0" borderId="3" xfId="3" applyFont="1" applyBorder="1" applyAlignment="1">
      <alignment horizontal="center" vertical="top" wrapText="1"/>
    </xf>
    <xf numFmtId="0" fontId="42" fillId="4" borderId="0" xfId="3" applyFont="1" applyFill="1" applyAlignment="1">
      <alignment vertical="center"/>
    </xf>
    <xf numFmtId="0" fontId="43" fillId="4" borderId="0" xfId="3" applyFont="1" applyFill="1"/>
    <xf numFmtId="0" fontId="47" fillId="4" borderId="0" xfId="3" applyFont="1" applyFill="1" applyAlignment="1">
      <alignment horizontal="right"/>
    </xf>
    <xf numFmtId="0" fontId="43" fillId="0" borderId="0" xfId="3" applyFont="1" applyAlignment="1">
      <alignment horizontal="right"/>
    </xf>
    <xf numFmtId="0" fontId="43" fillId="0" borderId="9" xfId="0" applyFont="1" applyBorder="1" applyAlignment="1">
      <alignment horizontal="left" vertical="top" wrapText="1"/>
    </xf>
    <xf numFmtId="0" fontId="43" fillId="0" borderId="2" xfId="3" applyFont="1" applyBorder="1" applyAlignment="1">
      <alignment horizontal="left" vertical="top"/>
    </xf>
    <xf numFmtId="0" fontId="43" fillId="0" borderId="9" xfId="3" applyFont="1" applyBorder="1" applyAlignment="1">
      <alignment horizontal="left" vertical="top" wrapText="1"/>
    </xf>
    <xf numFmtId="0" fontId="43" fillId="0" borderId="9" xfId="4" applyFont="1" applyBorder="1" applyAlignment="1">
      <alignment horizontal="left" vertical="top"/>
    </xf>
    <xf numFmtId="0" fontId="43" fillId="0" borderId="9" xfId="3" quotePrefix="1" applyFont="1" applyBorder="1" applyAlignment="1">
      <alignment horizontal="left" vertical="top" wrapText="1"/>
    </xf>
    <xf numFmtId="0" fontId="43" fillId="0" borderId="0" xfId="3" applyFont="1" applyAlignment="1">
      <alignment horizontal="left" vertical="top" wrapText="1"/>
    </xf>
    <xf numFmtId="0" fontId="42" fillId="5" borderId="0" xfId="3" applyFont="1" applyFill="1" applyAlignment="1">
      <alignment vertical="center"/>
    </xf>
    <xf numFmtId="0" fontId="43" fillId="5" borderId="0" xfId="3" applyFont="1" applyFill="1"/>
    <xf numFmtId="0" fontId="47" fillId="5" borderId="0" xfId="3" applyFont="1" applyFill="1" applyAlignment="1">
      <alignment horizontal="left" vertical="center"/>
    </xf>
    <xf numFmtId="0" fontId="43" fillId="0" borderId="9" xfId="0" applyFont="1" applyBorder="1" applyAlignment="1">
      <alignment vertical="top"/>
    </xf>
    <xf numFmtId="0" fontId="43" fillId="0" borderId="2" xfId="3" applyFont="1" applyBorder="1" applyAlignment="1">
      <alignment horizontal="left" vertical="center"/>
    </xf>
    <xf numFmtId="0" fontId="43" fillId="0" borderId="9" xfId="3" applyFont="1" applyBorder="1" applyAlignment="1">
      <alignment horizontal="left" vertical="center"/>
    </xf>
    <xf numFmtId="0" fontId="43" fillId="0" borderId="9" xfId="0" applyFont="1" applyBorder="1" applyAlignment="1">
      <alignment vertical="top" wrapText="1"/>
    </xf>
    <xf numFmtId="0" fontId="61" fillId="0" borderId="0" xfId="34" applyFont="1" applyAlignment="1">
      <alignment horizontal="right"/>
    </xf>
    <xf numFmtId="0" fontId="55" fillId="16" borderId="18" xfId="34" applyFont="1" applyFill="1" applyBorder="1" applyAlignment="1">
      <alignment horizontal="right"/>
    </xf>
    <xf numFmtId="0" fontId="42" fillId="16" borderId="20" xfId="34" applyFont="1" applyFill="1" applyBorder="1" applyAlignment="1">
      <alignment horizontal="left" wrapText="1"/>
    </xf>
    <xf numFmtId="0" fontId="42" fillId="16" borderId="19" xfId="34" applyFont="1" applyFill="1" applyBorder="1" applyAlignment="1">
      <alignment horizontal="left" wrapText="1"/>
    </xf>
    <xf numFmtId="0" fontId="54" fillId="16" borderId="20" xfId="34" applyFont="1" applyFill="1" applyBorder="1"/>
    <xf numFmtId="0" fontId="43" fillId="16" borderId="19" xfId="34" applyFont="1" applyFill="1" applyBorder="1" applyAlignment="1">
      <alignment horizontal="left" wrapText="1"/>
    </xf>
    <xf numFmtId="0" fontId="55" fillId="16" borderId="18" xfId="34" applyFont="1" applyFill="1" applyBorder="1" applyAlignment="1">
      <alignment horizontal="center"/>
    </xf>
    <xf numFmtId="0" fontId="25" fillId="0" borderId="0" xfId="30" applyFont="1" applyAlignment="1">
      <alignment horizontal="right"/>
    </xf>
    <xf numFmtId="0" fontId="61" fillId="0" borderId="0" xfId="30" applyFont="1" applyAlignment="1">
      <alignment horizontal="left"/>
    </xf>
    <xf numFmtId="0" fontId="9" fillId="9" borderId="0" xfId="10" applyFont="1" applyFill="1"/>
    <xf numFmtId="0" fontId="30" fillId="9" borderId="0" xfId="25" applyFont="1" applyFill="1" applyAlignment="1">
      <alignment vertical="center"/>
    </xf>
    <xf numFmtId="0" fontId="30" fillId="9" borderId="0" xfId="25" applyFont="1" applyFill="1"/>
    <xf numFmtId="0" fontId="50" fillId="0" borderId="0" xfId="3" applyFont="1" applyAlignment="1" applyProtection="1">
      <alignment horizontal="left" vertical="center"/>
      <protection hidden="1"/>
    </xf>
    <xf numFmtId="0" fontId="14" fillId="0" borderId="0" xfId="2" applyFont="1" applyBorder="1" applyAlignment="1">
      <alignment horizontal="right"/>
    </xf>
    <xf numFmtId="0" fontId="9" fillId="4" borderId="29" xfId="2" applyFont="1" applyFill="1" applyBorder="1" applyProtection="1">
      <protection locked="0"/>
    </xf>
    <xf numFmtId="0" fontId="9" fillId="4" borderId="44" xfId="2" applyFont="1" applyFill="1" applyBorder="1" applyProtection="1">
      <protection locked="0"/>
    </xf>
    <xf numFmtId="0" fontId="9" fillId="5" borderId="29" xfId="2" applyFont="1" applyFill="1" applyBorder="1" applyProtection="1">
      <protection locked="0"/>
    </xf>
    <xf numFmtId="0" fontId="9" fillId="5" borderId="44" xfId="2" applyFont="1" applyFill="1" applyBorder="1" applyProtection="1">
      <protection locked="0"/>
    </xf>
    <xf numFmtId="0" fontId="9" fillId="10" borderId="29" xfId="2" applyFont="1" applyFill="1" applyBorder="1" applyProtection="1">
      <protection locked="0"/>
    </xf>
    <xf numFmtId="0" fontId="9" fillId="10" borderId="44" xfId="2" applyFont="1" applyFill="1" applyBorder="1" applyProtection="1">
      <protection locked="0"/>
    </xf>
    <xf numFmtId="0" fontId="9" fillId="0" borderId="6" xfId="2" applyFont="1" applyBorder="1" applyAlignment="1">
      <alignment horizontal="center"/>
    </xf>
    <xf numFmtId="0" fontId="9" fillId="0" borderId="8" xfId="2" applyFont="1" applyBorder="1" applyAlignment="1">
      <alignment horizontal="center"/>
    </xf>
    <xf numFmtId="0" fontId="14" fillId="0" borderId="7" xfId="2" applyFont="1" applyBorder="1" applyAlignment="1">
      <alignment horizontal="right"/>
    </xf>
    <xf numFmtId="0" fontId="9" fillId="0" borderId="5" xfId="25" applyFont="1" applyBorder="1" applyAlignment="1">
      <alignment horizontal="center"/>
    </xf>
    <xf numFmtId="0" fontId="46" fillId="0" borderId="0" xfId="25" applyFont="1" applyBorder="1" applyAlignment="1">
      <alignment horizontal="center"/>
    </xf>
    <xf numFmtId="0" fontId="9" fillId="12" borderId="8" xfId="25" applyFont="1" applyFill="1" applyBorder="1"/>
    <xf numFmtId="0" fontId="14" fillId="0" borderId="21" xfId="25" applyFont="1" applyBorder="1"/>
    <xf numFmtId="0" fontId="9" fillId="12" borderId="22" xfId="25" applyFont="1" applyFill="1" applyBorder="1"/>
    <xf numFmtId="0" fontId="9" fillId="12" borderId="7" xfId="25" applyFont="1" applyFill="1" applyBorder="1" applyProtection="1">
      <protection locked="0"/>
    </xf>
    <xf numFmtId="3" fontId="46" fillId="0" borderId="0" xfId="25" applyNumberFormat="1" applyFont="1" applyBorder="1"/>
    <xf numFmtId="0" fontId="9" fillId="12" borderId="64" xfId="25" applyFont="1" applyFill="1" applyBorder="1" applyProtection="1">
      <protection locked="0"/>
    </xf>
    <xf numFmtId="0" fontId="12" fillId="0" borderId="0" xfId="25" applyFont="1" applyAlignment="1">
      <alignment vertical="center" wrapText="1"/>
    </xf>
    <xf numFmtId="0" fontId="12" fillId="0" borderId="0" xfId="25" applyFont="1" applyAlignment="1">
      <alignment vertical="center"/>
    </xf>
    <xf numFmtId="0" fontId="12" fillId="0" borderId="0" xfId="25" applyFont="1" applyAlignment="1">
      <alignment horizontal="left" vertical="center"/>
    </xf>
    <xf numFmtId="9" fontId="9" fillId="5" borderId="36" xfId="26" applyFont="1" applyFill="1" applyBorder="1" applyAlignment="1" applyProtection="1">
      <alignment horizontal="right" vertical="center"/>
      <protection locked="0"/>
    </xf>
    <xf numFmtId="9" fontId="9" fillId="4" borderId="36" xfId="26" applyFont="1" applyFill="1" applyBorder="1" applyAlignment="1" applyProtection="1">
      <alignment horizontal="right" vertical="center"/>
      <protection locked="0"/>
    </xf>
    <xf numFmtId="0" fontId="14" fillId="0" borderId="29" xfId="2" quotePrefix="1" applyFont="1" applyBorder="1" applyAlignment="1">
      <alignment horizontal="right"/>
    </xf>
    <xf numFmtId="0" fontId="62" fillId="0" borderId="0" xfId="3" applyFont="1" applyAlignment="1">
      <alignment horizontal="left" vertical="center"/>
    </xf>
    <xf numFmtId="9" fontId="10" fillId="0" borderId="42" xfId="19" applyFont="1" applyFill="1" applyBorder="1" applyAlignment="1" applyProtection="1">
      <alignment vertical="center"/>
    </xf>
    <xf numFmtId="3" fontId="10" fillId="0" borderId="42" xfId="2" applyNumberFormat="1" applyFont="1" applyBorder="1" applyAlignment="1">
      <alignment vertical="center"/>
    </xf>
    <xf numFmtId="9" fontId="9" fillId="0" borderId="0" xfId="26" applyFont="1" applyFill="1" applyBorder="1"/>
    <xf numFmtId="9" fontId="14" fillId="0" borderId="9" xfId="26" applyFont="1" applyFill="1" applyBorder="1"/>
    <xf numFmtId="0" fontId="9" fillId="0" borderId="4" xfId="3" applyBorder="1" applyAlignment="1">
      <alignment vertical="center"/>
    </xf>
    <xf numFmtId="0" fontId="9" fillId="0" borderId="5" xfId="3" applyBorder="1" applyAlignment="1">
      <alignment vertical="center"/>
    </xf>
    <xf numFmtId="0" fontId="9" fillId="0" borderId="6" xfId="3" applyBorder="1" applyAlignment="1">
      <alignment vertical="center"/>
    </xf>
    <xf numFmtId="0" fontId="9" fillId="0" borderId="7" xfId="3" applyBorder="1" applyAlignment="1">
      <alignment vertical="center"/>
    </xf>
    <xf numFmtId="0" fontId="9" fillId="0" borderId="8" xfId="3" applyBorder="1" applyAlignment="1">
      <alignment vertical="center"/>
    </xf>
    <xf numFmtId="0" fontId="9" fillId="12" borderId="7" xfId="2" applyFont="1" applyFill="1" applyBorder="1" applyAlignment="1" applyProtection="1">
      <alignment horizontal="left" vertical="center"/>
      <protection locked="0"/>
    </xf>
    <xf numFmtId="0" fontId="9" fillId="12" borderId="0" xfId="2" applyFont="1" applyFill="1" applyBorder="1" applyAlignment="1" applyProtection="1">
      <alignment horizontal="left" vertical="center"/>
      <protection locked="0"/>
    </xf>
    <xf numFmtId="0" fontId="9" fillId="12" borderId="79" xfId="2" applyFont="1" applyFill="1" applyBorder="1" applyAlignment="1" applyProtection="1">
      <alignment horizontal="center" vertical="center"/>
      <protection locked="0"/>
    </xf>
    <xf numFmtId="0" fontId="9" fillId="0" borderId="0" xfId="3" applyAlignment="1">
      <alignment horizontal="left" vertical="center"/>
    </xf>
    <xf numFmtId="0" fontId="9" fillId="0" borderId="8" xfId="3" applyBorder="1" applyAlignment="1">
      <alignment horizontal="center"/>
    </xf>
    <xf numFmtId="0" fontId="9" fillId="0" borderId="15" xfId="3" applyBorder="1"/>
    <xf numFmtId="0" fontId="9" fillId="0" borderId="16" xfId="3" applyBorder="1"/>
    <xf numFmtId="0" fontId="9" fillId="0" borderId="17" xfId="3" applyBorder="1"/>
    <xf numFmtId="0" fontId="9" fillId="0" borderId="7" xfId="2" applyFont="1" applyBorder="1" applyAlignment="1" applyProtection="1">
      <alignment horizontal="left" vertical="center"/>
      <protection locked="0"/>
    </xf>
    <xf numFmtId="0" fontId="9" fillId="0" borderId="0" xfId="2" applyFont="1" applyBorder="1" applyAlignment="1" applyProtection="1">
      <alignment horizontal="left" vertical="center"/>
      <protection locked="0"/>
    </xf>
    <xf numFmtId="0" fontId="9" fillId="0" borderId="8" xfId="2" applyFont="1" applyBorder="1" applyAlignment="1" applyProtection="1">
      <alignment horizontal="center" vertical="center"/>
      <protection locked="0"/>
    </xf>
    <xf numFmtId="0" fontId="9" fillId="0" borderId="7" xfId="3" applyBorder="1"/>
    <xf numFmtId="0" fontId="9" fillId="0" borderId="8" xfId="3" applyBorder="1"/>
    <xf numFmtId="0" fontId="9" fillId="0" borderId="15" xfId="2" applyFont="1" applyBorder="1" applyAlignment="1" applyProtection="1">
      <alignment horizontal="left" vertical="center"/>
      <protection locked="0"/>
    </xf>
    <xf numFmtId="0" fontId="9" fillId="0" borderId="16" xfId="2" applyFont="1" applyBorder="1" applyAlignment="1" applyProtection="1">
      <alignment horizontal="left" vertical="center"/>
      <protection locked="0"/>
    </xf>
    <xf numFmtId="0" fontId="9" fillId="0" borderId="17" xfId="2" applyFont="1" applyBorder="1" applyAlignment="1" applyProtection="1">
      <alignment horizontal="center" vertical="center"/>
      <protection locked="0"/>
    </xf>
    <xf numFmtId="0" fontId="9" fillId="0" borderId="0" xfId="2" applyFont="1" applyBorder="1" applyAlignment="1" applyProtection="1">
      <alignment horizontal="center" vertical="center"/>
      <protection locked="0"/>
    </xf>
    <xf numFmtId="0" fontId="7" fillId="0" borderId="4" xfId="6" applyBorder="1"/>
    <xf numFmtId="0" fontId="7" fillId="0" borderId="5" xfId="6" applyBorder="1"/>
    <xf numFmtId="0" fontId="7" fillId="0" borderId="6" xfId="6" applyBorder="1"/>
    <xf numFmtId="0" fontId="7" fillId="0" borderId="7" xfId="6" applyBorder="1"/>
    <xf numFmtId="0" fontId="7" fillId="0" borderId="8" xfId="6" applyBorder="1"/>
    <xf numFmtId="0" fontId="7" fillId="0" borderId="15" xfId="6" applyBorder="1"/>
    <xf numFmtId="0" fontId="7" fillId="0" borderId="16" xfId="6" applyBorder="1"/>
    <xf numFmtId="0" fontId="7" fillId="0" borderId="17" xfId="6" applyBorder="1"/>
    <xf numFmtId="0" fontId="9" fillId="0" borderId="4" xfId="2" applyFont="1" applyBorder="1" applyAlignment="1">
      <alignment horizontal="left" vertical="center"/>
    </xf>
    <xf numFmtId="0" fontId="9" fillId="0" borderId="5" xfId="2" applyFont="1" applyBorder="1" applyAlignment="1">
      <alignment horizontal="left" vertical="center"/>
    </xf>
    <xf numFmtId="0" fontId="9" fillId="0" borderId="6" xfId="2" applyFont="1" applyBorder="1" applyAlignment="1">
      <alignment horizontal="center" vertical="center"/>
    </xf>
    <xf numFmtId="0" fontId="9" fillId="0" borderId="7" xfId="2" applyFont="1" applyBorder="1" applyAlignment="1">
      <alignment horizontal="left" vertical="center"/>
    </xf>
    <xf numFmtId="0" fontId="9" fillId="0" borderId="0" xfId="2" applyFont="1" applyBorder="1" applyAlignment="1">
      <alignment horizontal="left" vertical="center"/>
    </xf>
    <xf numFmtId="0" fontId="9" fillId="0" borderId="8" xfId="2" applyFont="1" applyBorder="1" applyAlignment="1">
      <alignment horizontal="center" vertical="center"/>
    </xf>
    <xf numFmtId="0" fontId="9" fillId="0" borderId="7" xfId="2" applyFont="1" applyBorder="1" applyAlignment="1">
      <alignment horizontal="left"/>
    </xf>
    <xf numFmtId="0" fontId="9" fillId="0" borderId="0" xfId="2" applyFont="1" applyBorder="1" applyAlignment="1">
      <alignment horizontal="left"/>
    </xf>
    <xf numFmtId="0" fontId="9" fillId="12" borderId="15" xfId="2" applyFont="1" applyFill="1" applyBorder="1" applyAlignment="1" applyProtection="1">
      <alignment horizontal="left" vertical="center"/>
      <protection locked="0"/>
    </xf>
    <xf numFmtId="0" fontId="9" fillId="12" borderId="16" xfId="2" applyFont="1" applyFill="1" applyBorder="1" applyAlignment="1" applyProtection="1">
      <alignment horizontal="left" vertical="center"/>
      <protection locked="0"/>
    </xf>
    <xf numFmtId="0" fontId="9" fillId="12" borderId="80" xfId="2" applyFont="1" applyFill="1" applyBorder="1" applyAlignment="1" applyProtection="1">
      <alignment horizontal="center" vertical="center"/>
      <protection locked="0"/>
    </xf>
    <xf numFmtId="0" fontId="9" fillId="0" borderId="15" xfId="25" applyFont="1" applyBorder="1" applyAlignment="1">
      <alignment vertical="center"/>
    </xf>
    <xf numFmtId="0" fontId="9" fillId="0" borderId="16" xfId="25" applyFont="1" applyBorder="1" applyAlignment="1">
      <alignment vertical="center"/>
    </xf>
    <xf numFmtId="0" fontId="9" fillId="0" borderId="17" xfId="25" applyFont="1" applyBorder="1"/>
    <xf numFmtId="0" fontId="23" fillId="0" borderId="8" xfId="25" applyFont="1" applyBorder="1"/>
    <xf numFmtId="0" fontId="23" fillId="0" borderId="7" xfId="25" applyFont="1" applyBorder="1"/>
    <xf numFmtId="0" fontId="23" fillId="0" borderId="0" xfId="25" applyFont="1" applyBorder="1"/>
    <xf numFmtId="0" fontId="9" fillId="0" borderId="15" xfId="25" applyFont="1" applyBorder="1"/>
    <xf numFmtId="0" fontId="9" fillId="0" borderId="16" xfId="25" applyFont="1" applyBorder="1"/>
    <xf numFmtId="14" fontId="9" fillId="13" borderId="18" xfId="2" applyNumberFormat="1" applyFont="1" applyFill="1" applyBorder="1" applyAlignment="1" applyProtection="1">
      <alignment horizontal="right"/>
      <protection locked="0"/>
    </xf>
    <xf numFmtId="14" fontId="9" fillId="13" borderId="19" xfId="2" applyNumberFormat="1" applyFont="1" applyFill="1" applyBorder="1" applyAlignment="1" applyProtection="1">
      <alignment horizontal="right"/>
      <protection locked="0"/>
    </xf>
    <xf numFmtId="0" fontId="9" fillId="13" borderId="18" xfId="2" applyFont="1" applyFill="1" applyBorder="1" applyAlignment="1" applyProtection="1">
      <alignment horizontal="right"/>
      <protection locked="0"/>
    </xf>
    <xf numFmtId="0" fontId="9" fillId="13" borderId="19" xfId="2" applyFont="1" applyFill="1" applyBorder="1" applyAlignment="1" applyProtection="1">
      <alignment horizontal="right"/>
      <protection locked="0"/>
    </xf>
    <xf numFmtId="0" fontId="9" fillId="0" borderId="1" xfId="0" applyFont="1" applyBorder="1" applyAlignment="1">
      <alignment horizontal="center" textRotation="90" wrapText="1"/>
    </xf>
    <xf numFmtId="0" fontId="9" fillId="0" borderId="2" xfId="0" applyFont="1" applyBorder="1" applyAlignment="1">
      <alignment horizontal="center" textRotation="90" wrapText="1"/>
    </xf>
    <xf numFmtId="178" fontId="9" fillId="8" borderId="18" xfId="20" applyNumberFormat="1" applyFont="1" applyFill="1" applyBorder="1" applyAlignment="1" applyProtection="1">
      <alignment horizontal="center" vertical="center"/>
      <protection locked="0"/>
    </xf>
    <xf numFmtId="178" fontId="9" fillId="8" borderId="19" xfId="20" applyNumberFormat="1" applyFont="1" applyFill="1" applyBorder="1" applyAlignment="1" applyProtection="1">
      <alignment horizontal="center" vertical="center"/>
      <protection locked="0"/>
    </xf>
    <xf numFmtId="178" fontId="14" fillId="0" borderId="18" xfId="20" applyNumberFormat="1" applyFont="1" applyFill="1" applyBorder="1" applyAlignment="1" applyProtection="1">
      <alignment horizontal="center" vertical="center"/>
    </xf>
    <xf numFmtId="178" fontId="14" fillId="0" borderId="19" xfId="20" applyNumberFormat="1" applyFont="1" applyFill="1" applyBorder="1" applyAlignment="1" applyProtection="1">
      <alignment horizontal="center" vertical="center"/>
    </xf>
    <xf numFmtId="0" fontId="10" fillId="0" borderId="1" xfId="3" applyFont="1" applyBorder="1" applyAlignment="1">
      <alignment horizontal="left" wrapText="1"/>
    </xf>
    <xf numFmtId="0" fontId="10" fillId="0" borderId="2" xfId="3" applyFont="1" applyBorder="1" applyAlignment="1">
      <alignment horizontal="left"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1" xfId="3" applyBorder="1" applyAlignment="1">
      <alignment horizontal="center" textRotation="90" wrapText="1"/>
    </xf>
    <xf numFmtId="0" fontId="9" fillId="0" borderId="2" xfId="3" applyBorder="1" applyAlignment="1">
      <alignment horizontal="center" textRotation="90" wrapText="1"/>
    </xf>
    <xf numFmtId="0" fontId="10" fillId="0" borderId="2" xfId="3" applyFont="1" applyBorder="1" applyAlignment="1">
      <alignment horizontal="center" textRotation="90" wrapText="1"/>
    </xf>
    <xf numFmtId="0" fontId="9" fillId="0" borderId="4" xfId="0" applyFont="1" applyBorder="1" applyAlignment="1">
      <alignment horizontal="center" textRotation="90" wrapText="1"/>
    </xf>
    <xf numFmtId="0" fontId="9" fillId="0" borderId="7" xfId="0" applyFont="1" applyBorder="1" applyAlignment="1">
      <alignment horizontal="center" textRotation="90" wrapText="1"/>
    </xf>
    <xf numFmtId="0" fontId="9" fillId="0" borderId="42" xfId="3" applyBorder="1" applyAlignment="1">
      <alignment horizontal="center" vertical="center" wrapText="1"/>
    </xf>
    <xf numFmtId="0" fontId="9" fillId="0" borderId="19" xfId="3"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7" xfId="0" applyFont="1" applyBorder="1" applyAlignment="1">
      <alignment horizontal="center" vertical="center" wrapText="1"/>
    </xf>
    <xf numFmtId="165" fontId="10" fillId="0" borderId="1" xfId="0" applyNumberFormat="1" applyFont="1" applyBorder="1" applyAlignment="1">
      <alignment horizontal="right" vertical="center"/>
    </xf>
    <xf numFmtId="165" fontId="10" fillId="0" borderId="2" xfId="0" applyNumberFormat="1" applyFont="1" applyBorder="1" applyAlignment="1">
      <alignment horizontal="right" vertical="center"/>
    </xf>
    <xf numFmtId="165" fontId="10" fillId="0" borderId="30" xfId="0" applyNumberFormat="1" applyFont="1" applyBorder="1" applyAlignment="1">
      <alignment horizontal="right" vertical="center"/>
    </xf>
    <xf numFmtId="0" fontId="9" fillId="0" borderId="4" xfId="3" applyBorder="1" applyAlignment="1">
      <alignment horizontal="center" vertical="center" wrapText="1"/>
    </xf>
    <xf numFmtId="0" fontId="9" fillId="0" borderId="5" xfId="3" applyBorder="1" applyAlignment="1">
      <alignment horizontal="center" vertical="center" wrapText="1"/>
    </xf>
    <xf numFmtId="0" fontId="9" fillId="0" borderId="6" xfId="3" applyBorder="1" applyAlignment="1">
      <alignment horizontal="center" vertical="center" wrapText="1"/>
    </xf>
    <xf numFmtId="0" fontId="9" fillId="0" borderId="15" xfId="3" applyBorder="1" applyAlignment="1">
      <alignment horizontal="center" vertical="center" wrapText="1"/>
    </xf>
    <xf numFmtId="0" fontId="9" fillId="0" borderId="16" xfId="3" applyBorder="1" applyAlignment="1">
      <alignment horizontal="center" vertical="center" wrapText="1"/>
    </xf>
    <xf numFmtId="0" fontId="9" fillId="0" borderId="17" xfId="3" applyBorder="1" applyAlignment="1">
      <alignment horizontal="center" vertical="center" wrapText="1"/>
    </xf>
    <xf numFmtId="165" fontId="10" fillId="0" borderId="4" xfId="0" applyNumberFormat="1" applyFont="1" applyBorder="1" applyAlignment="1">
      <alignment horizontal="center" vertical="center"/>
    </xf>
    <xf numFmtId="165" fontId="10" fillId="0" borderId="7" xfId="0" applyNumberFormat="1" applyFont="1" applyBorder="1" applyAlignment="1">
      <alignment horizontal="center" vertical="center"/>
    </xf>
    <xf numFmtId="165" fontId="10" fillId="0" borderId="15" xfId="0" applyNumberFormat="1" applyFont="1" applyBorder="1" applyAlignment="1">
      <alignment horizontal="center" vertical="center"/>
    </xf>
    <xf numFmtId="179" fontId="10" fillId="0" borderId="1" xfId="3" applyNumberFormat="1" applyFont="1" applyBorder="1" applyAlignment="1">
      <alignment horizontal="right" vertical="center"/>
    </xf>
    <xf numFmtId="179" fontId="10" fillId="0" borderId="2" xfId="3" applyNumberFormat="1" applyFont="1" applyBorder="1" applyAlignment="1">
      <alignment horizontal="right" vertical="center"/>
    </xf>
    <xf numFmtId="179" fontId="10" fillId="0" borderId="30" xfId="3" applyNumberFormat="1" applyFont="1" applyBorder="1" applyAlignment="1">
      <alignment horizontal="right" vertical="center"/>
    </xf>
    <xf numFmtId="0" fontId="26" fillId="0" borderId="1" xfId="6" applyFont="1" applyBorder="1" applyAlignment="1">
      <alignment horizontal="center" wrapText="1"/>
    </xf>
    <xf numFmtId="0" fontId="26" fillId="0" borderId="2" xfId="6" applyFont="1" applyBorder="1" applyAlignment="1">
      <alignment horizontal="center" wrapText="1"/>
    </xf>
    <xf numFmtId="0" fontId="26" fillId="0" borderId="18" xfId="21" applyFont="1" applyBorder="1" applyAlignment="1">
      <alignment horizontal="center" vertical="center"/>
    </xf>
    <xf numFmtId="0" fontId="26" fillId="0" borderId="20" xfId="21" applyFont="1" applyBorder="1" applyAlignment="1">
      <alignment horizontal="center" vertical="center"/>
    </xf>
    <xf numFmtId="0" fontId="26" fillId="0" borderId="19" xfId="21" applyFont="1" applyBorder="1" applyAlignment="1">
      <alignment horizontal="center" vertical="center"/>
    </xf>
    <xf numFmtId="167" fontId="9" fillId="0" borderId="18" xfId="23" applyNumberFormat="1" applyBorder="1" applyAlignment="1">
      <alignment horizontal="center" vertical="center" wrapText="1"/>
    </xf>
    <xf numFmtId="167" fontId="9" fillId="0" borderId="20" xfId="23" applyNumberFormat="1" applyBorder="1" applyAlignment="1">
      <alignment horizontal="center" vertical="center" wrapText="1"/>
    </xf>
    <xf numFmtId="167" fontId="9" fillId="0" borderId="19" xfId="23" applyNumberFormat="1" applyBorder="1" applyAlignment="1">
      <alignment horizontal="center" vertical="center" wrapText="1"/>
    </xf>
    <xf numFmtId="0" fontId="9" fillId="0" borderId="4" xfId="22" applyFont="1" applyBorder="1" applyAlignment="1">
      <alignment horizontal="center" wrapText="1"/>
    </xf>
    <xf numFmtId="0" fontId="9" fillId="0" borderId="6" xfId="22" applyFont="1" applyBorder="1" applyAlignment="1">
      <alignment horizontal="center" wrapText="1"/>
    </xf>
    <xf numFmtId="0" fontId="9" fillId="0" borderId="21" xfId="22" applyFont="1" applyBorder="1" applyAlignment="1">
      <alignment horizontal="center" vertical="top" wrapText="1"/>
    </xf>
    <xf numFmtId="0" fontId="9" fillId="0" borderId="22" xfId="22" applyFont="1" applyBorder="1" applyAlignment="1">
      <alignment horizontal="center" vertical="top" wrapText="1"/>
    </xf>
    <xf numFmtId="0" fontId="26" fillId="0" borderId="1" xfId="21" applyFont="1" applyBorder="1" applyAlignment="1">
      <alignment horizontal="center"/>
    </xf>
    <xf numFmtId="0" fontId="26" fillId="0" borderId="2" xfId="21" applyFont="1" applyBorder="1" applyAlignment="1">
      <alignment horizontal="center"/>
    </xf>
    <xf numFmtId="0" fontId="26" fillId="0" borderId="18" xfId="21" applyFont="1" applyBorder="1" applyAlignment="1">
      <alignment horizontal="center" vertical="center" wrapText="1"/>
    </xf>
    <xf numFmtId="0" fontId="26" fillId="0" borderId="20" xfId="21" applyFont="1" applyBorder="1" applyAlignment="1">
      <alignment horizontal="center" vertical="center" wrapText="1"/>
    </xf>
    <xf numFmtId="0" fontId="26" fillId="0" borderId="19" xfId="21" applyFont="1" applyBorder="1" applyAlignment="1">
      <alignment horizontal="center" vertical="center" wrapText="1"/>
    </xf>
    <xf numFmtId="0" fontId="26" fillId="0" borderId="30" xfId="6" applyFont="1" applyBorder="1" applyAlignment="1">
      <alignment horizontal="center" wrapText="1"/>
    </xf>
    <xf numFmtId="0" fontId="26" fillId="0" borderId="4" xfId="21" applyFont="1" applyBorder="1" applyAlignment="1">
      <alignment horizontal="center"/>
    </xf>
    <xf numFmtId="0" fontId="26" fillId="0" borderId="6" xfId="21" applyFont="1" applyBorder="1" applyAlignment="1">
      <alignment horizontal="center"/>
    </xf>
    <xf numFmtId="0" fontId="26" fillId="0" borderId="7" xfId="21" applyFont="1" applyBorder="1" applyAlignment="1">
      <alignment horizontal="center"/>
    </xf>
    <xf numFmtId="0" fontId="26" fillId="0" borderId="8" xfId="21" applyFont="1" applyBorder="1" applyAlignment="1">
      <alignment horizontal="center"/>
    </xf>
    <xf numFmtId="0" fontId="42" fillId="10" borderId="0" xfId="22" applyFont="1" applyFill="1" applyBorder="1" applyAlignment="1">
      <alignment vertical="center" wrapText="1"/>
    </xf>
    <xf numFmtId="0" fontId="43" fillId="10" borderId="0" xfId="22" applyFont="1" applyFill="1" applyAlignment="1">
      <alignment vertical="center"/>
    </xf>
    <xf numFmtId="0" fontId="8" fillId="0" borderId="19" xfId="22" applyBorder="1" applyAlignment="1">
      <alignment horizontal="center" vertical="center" wrapText="1"/>
    </xf>
    <xf numFmtId="0" fontId="26" fillId="0" borderId="1" xfId="21" applyFont="1" applyBorder="1" applyAlignment="1">
      <alignment horizontal="center" wrapText="1"/>
    </xf>
    <xf numFmtId="0" fontId="26" fillId="0" borderId="2" xfId="21" applyFont="1" applyBorder="1" applyAlignment="1">
      <alignment horizontal="center" wrapText="1"/>
    </xf>
    <xf numFmtId="0" fontId="26" fillId="2" borderId="1" xfId="6" applyFont="1" applyFill="1" applyBorder="1" applyAlignment="1">
      <alignment horizontal="center" wrapText="1"/>
    </xf>
    <xf numFmtId="0" fontId="26" fillId="2" borderId="2" xfId="6" applyFont="1" applyFill="1" applyBorder="1" applyAlignment="1">
      <alignment horizontal="center" wrapText="1"/>
    </xf>
    <xf numFmtId="167" fontId="26" fillId="0" borderId="18" xfId="23" applyNumberFormat="1" applyFont="1" applyBorder="1" applyAlignment="1">
      <alignment horizontal="left" vertical="center" wrapText="1"/>
    </xf>
    <xf numFmtId="167" fontId="26" fillId="0" borderId="20" xfId="23" applyNumberFormat="1" applyFont="1" applyBorder="1" applyAlignment="1">
      <alignment horizontal="left" vertical="center" wrapText="1"/>
    </xf>
    <xf numFmtId="0" fontId="9" fillId="0" borderId="1" xfId="23" applyBorder="1" applyAlignment="1">
      <alignment horizontal="left" wrapText="1"/>
    </xf>
    <xf numFmtId="0" fontId="9" fillId="0" borderId="2" xfId="23" applyBorder="1" applyAlignment="1">
      <alignment horizontal="left" wrapText="1"/>
    </xf>
    <xf numFmtId="0" fontId="9" fillId="0" borderId="18" xfId="22" applyFont="1" applyBorder="1" applyAlignment="1">
      <alignment horizontal="center" vertical="center"/>
    </xf>
    <xf numFmtId="0" fontId="9" fillId="0" borderId="20" xfId="22" applyFont="1" applyBorder="1" applyAlignment="1">
      <alignment horizontal="center" vertical="center"/>
    </xf>
    <xf numFmtId="0" fontId="9" fillId="0" borderId="19" xfId="22" applyFont="1" applyBorder="1" applyAlignment="1">
      <alignment horizontal="center" vertical="center"/>
    </xf>
    <xf numFmtId="0" fontId="9" fillId="0" borderId="18" xfId="22" applyFont="1" applyBorder="1" applyAlignment="1">
      <alignment horizontal="center" vertical="center" wrapText="1"/>
    </xf>
    <xf numFmtId="0" fontId="9" fillId="0" borderId="20" xfId="22" applyFont="1" applyBorder="1" applyAlignment="1">
      <alignment horizontal="center" vertical="center" wrapText="1"/>
    </xf>
    <xf numFmtId="0" fontId="8" fillId="0" borderId="20" xfId="22" applyBorder="1" applyAlignment="1">
      <alignment wrapText="1"/>
    </xf>
    <xf numFmtId="0" fontId="8" fillId="0" borderId="19" xfId="22" applyBorder="1" applyAlignment="1">
      <alignment wrapText="1"/>
    </xf>
    <xf numFmtId="0" fontId="9" fillId="0" borderId="5" xfId="22" applyFont="1" applyBorder="1" applyAlignment="1">
      <alignment horizontal="center" wrapText="1"/>
    </xf>
    <xf numFmtId="0" fontId="8" fillId="0" borderId="21" xfId="22" applyBorder="1" applyAlignment="1">
      <alignment horizontal="center"/>
    </xf>
    <xf numFmtId="0" fontId="8" fillId="0" borderId="28" xfId="22" applyBorder="1" applyAlignment="1">
      <alignment horizontal="center"/>
    </xf>
    <xf numFmtId="0" fontId="9" fillId="0" borderId="18" xfId="23" applyBorder="1" applyAlignment="1">
      <alignment horizontal="center" vertical="center" wrapText="1"/>
    </xf>
    <xf numFmtId="0" fontId="8" fillId="0" borderId="20" xfId="22" applyBorder="1" applyAlignment="1">
      <alignment vertical="center" wrapText="1"/>
    </xf>
    <xf numFmtId="0" fontId="8" fillId="0" borderId="19" xfId="22" applyBorder="1" applyAlignment="1">
      <alignment vertical="center" wrapText="1"/>
    </xf>
    <xf numFmtId="0" fontId="26" fillId="0" borderId="1" xfId="21" applyFont="1" applyBorder="1" applyAlignment="1">
      <alignment horizontal="left" vertical="center"/>
    </xf>
    <xf numFmtId="0" fontId="26" fillId="0" borderId="30" xfId="21" applyFont="1" applyBorder="1" applyAlignment="1">
      <alignment horizontal="left" vertical="center"/>
    </xf>
    <xf numFmtId="0" fontId="9" fillId="0" borderId="1" xfId="3" applyBorder="1" applyAlignment="1">
      <alignment horizontal="left" wrapText="1"/>
    </xf>
    <xf numFmtId="0" fontId="9" fillId="0" borderId="2" xfId="3" applyBorder="1" applyAlignment="1">
      <alignment horizontal="left" wrapText="1"/>
    </xf>
    <xf numFmtId="0" fontId="9" fillId="0" borderId="4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18" xfId="5" applyFont="1" applyBorder="1" applyAlignment="1">
      <alignment horizontal="left" vertical="center"/>
    </xf>
    <xf numFmtId="0" fontId="9" fillId="0" borderId="20" xfId="5" applyFont="1" applyBorder="1" applyAlignment="1">
      <alignment horizontal="left" vertical="center"/>
    </xf>
    <xf numFmtId="0" fontId="9" fillId="0" borderId="19" xfId="5" applyFont="1" applyBorder="1" applyAlignment="1">
      <alignment horizontal="left" vertical="center"/>
    </xf>
    <xf numFmtId="0" fontId="9" fillId="0" borderId="18" xfId="5" applyFont="1" applyBorder="1" applyAlignment="1">
      <alignment horizontal="center" vertical="center" wrapText="1"/>
    </xf>
    <xf numFmtId="0" fontId="9" fillId="0" borderId="20" xfId="5" applyFont="1" applyBorder="1" applyAlignment="1">
      <alignment horizontal="center" vertical="center" wrapText="1"/>
    </xf>
    <xf numFmtId="0" fontId="20" fillId="0" borderId="1" xfId="5" applyFont="1" applyBorder="1" applyAlignment="1">
      <alignment horizontal="center" textRotation="90" wrapText="1"/>
    </xf>
    <xf numFmtId="0" fontId="20" fillId="0" borderId="2" xfId="5" applyFont="1" applyBorder="1" applyAlignment="1">
      <alignment horizontal="center" textRotation="90" wrapText="1"/>
    </xf>
    <xf numFmtId="0" fontId="12" fillId="0" borderId="18" xfId="5" applyFont="1" applyBorder="1" applyAlignment="1">
      <alignment horizontal="center" vertical="center" wrapText="1"/>
    </xf>
    <xf numFmtId="0" fontId="12" fillId="0" borderId="19" xfId="5" applyFont="1" applyBorder="1" applyAlignment="1">
      <alignment horizontal="center" vertical="center" wrapText="1"/>
    </xf>
    <xf numFmtId="2" fontId="14" fillId="0" borderId="18" xfId="2" applyNumberFormat="1" applyFont="1" applyBorder="1" applyAlignment="1">
      <alignment horizontal="center"/>
    </xf>
    <xf numFmtId="2" fontId="14" fillId="0" borderId="19" xfId="2" applyNumberFormat="1" applyFont="1" applyBorder="1" applyAlignment="1">
      <alignment horizontal="center"/>
    </xf>
    <xf numFmtId="0" fontId="14" fillId="0" borderId="0" xfId="2" applyFont="1" applyBorder="1" applyAlignment="1">
      <alignment horizontal="center"/>
    </xf>
    <xf numFmtId="0" fontId="10" fillId="0" borderId="1" xfId="2" applyFont="1" applyBorder="1" applyAlignment="1">
      <alignment horizontal="center" wrapText="1"/>
    </xf>
    <xf numFmtId="0" fontId="10" fillId="0" borderId="2" xfId="2" applyFont="1" applyBorder="1" applyAlignment="1">
      <alignment horizontal="center" wrapText="1"/>
    </xf>
    <xf numFmtId="0" fontId="9" fillId="0" borderId="1" xfId="2" applyFont="1" applyBorder="1" applyAlignment="1">
      <alignment horizontal="center" wrapText="1"/>
    </xf>
    <xf numFmtId="0" fontId="9" fillId="0" borderId="2" xfId="2" applyFont="1" applyBorder="1" applyAlignment="1">
      <alignment horizontal="center" wrapText="1"/>
    </xf>
    <xf numFmtId="14" fontId="10" fillId="4" borderId="18" xfId="2" applyNumberFormat="1" applyFont="1" applyFill="1" applyBorder="1" applyAlignment="1" applyProtection="1">
      <alignment horizontal="right"/>
      <protection locked="0"/>
    </xf>
    <xf numFmtId="14" fontId="10" fillId="4" borderId="19" xfId="2" applyNumberFormat="1" applyFont="1" applyFill="1" applyBorder="1" applyAlignment="1" applyProtection="1">
      <alignment horizontal="right"/>
      <protection locked="0"/>
    </xf>
    <xf numFmtId="0" fontId="10" fillId="6" borderId="18" xfId="2" applyFont="1" applyFill="1" applyBorder="1" applyAlignment="1" applyProtection="1">
      <alignment horizontal="right"/>
      <protection locked="0"/>
    </xf>
    <xf numFmtId="0" fontId="10" fillId="6" borderId="19" xfId="2" applyFont="1" applyFill="1" applyBorder="1" applyAlignment="1" applyProtection="1">
      <alignment horizontal="right"/>
      <protection locked="0"/>
    </xf>
    <xf numFmtId="0" fontId="9" fillId="0" borderId="1" xfId="2" applyFont="1" applyBorder="1" applyAlignment="1">
      <alignment horizontal="center" textRotation="90" wrapText="1"/>
    </xf>
    <xf numFmtId="0" fontId="10" fillId="0" borderId="2" xfId="2" applyFont="1" applyBorder="1" applyAlignment="1">
      <alignment horizontal="center" textRotation="90" wrapText="1"/>
    </xf>
    <xf numFmtId="0" fontId="10" fillId="0" borderId="0" xfId="2" applyFont="1" applyAlignment="1">
      <alignment horizontal="left" vertical="center"/>
    </xf>
    <xf numFmtId="14" fontId="10" fillId="5" borderId="18" xfId="2" applyNumberFormat="1" applyFont="1" applyFill="1" applyBorder="1" applyAlignment="1" applyProtection="1">
      <alignment horizontal="right"/>
      <protection locked="0"/>
    </xf>
    <xf numFmtId="14" fontId="10" fillId="5" borderId="19" xfId="2" applyNumberFormat="1" applyFont="1" applyFill="1" applyBorder="1" applyAlignment="1" applyProtection="1">
      <alignment horizontal="right"/>
      <protection locked="0"/>
    </xf>
    <xf numFmtId="0" fontId="10" fillId="7" borderId="18" xfId="2" applyFont="1" applyFill="1" applyBorder="1" applyAlignment="1" applyProtection="1">
      <alignment horizontal="right"/>
      <protection locked="0"/>
    </xf>
    <xf numFmtId="0" fontId="10" fillId="7" borderId="19" xfId="2" applyFont="1" applyFill="1" applyBorder="1" applyAlignment="1" applyProtection="1">
      <alignment horizontal="right"/>
      <protection locked="0"/>
    </xf>
    <xf numFmtId="0" fontId="10" fillId="0" borderId="1" xfId="10" applyFont="1" applyBorder="1" applyAlignment="1">
      <alignment horizontal="center" wrapText="1"/>
    </xf>
    <xf numFmtId="0" fontId="10" fillId="0" borderId="2" xfId="10" applyFont="1" applyBorder="1" applyAlignment="1">
      <alignment horizontal="center" wrapText="1"/>
    </xf>
    <xf numFmtId="0" fontId="9" fillId="0" borderId="1" xfId="10" applyFont="1" applyBorder="1" applyAlignment="1">
      <alignment horizontal="center" wrapText="1"/>
    </xf>
    <xf numFmtId="0" fontId="9" fillId="0" borderId="2" xfId="10" applyFont="1" applyBorder="1" applyAlignment="1">
      <alignment horizontal="center" wrapText="1"/>
    </xf>
    <xf numFmtId="0" fontId="9" fillId="0" borderId="1" xfId="25" applyFont="1" applyBorder="1" applyAlignment="1">
      <alignment horizontal="center" wrapText="1"/>
    </xf>
    <xf numFmtId="0" fontId="9" fillId="0" borderId="2" xfId="25" applyFont="1" applyBorder="1" applyAlignment="1">
      <alignment horizontal="center" wrapText="1"/>
    </xf>
    <xf numFmtId="0" fontId="9" fillId="0" borderId="2" xfId="2" applyFont="1" applyBorder="1" applyAlignment="1">
      <alignment horizontal="center" textRotation="90" wrapText="1"/>
    </xf>
    <xf numFmtId="0" fontId="55" fillId="16" borderId="20" xfId="34" applyFont="1" applyFill="1" applyBorder="1" applyAlignment="1">
      <alignment horizontal="left"/>
    </xf>
    <xf numFmtId="0" fontId="55" fillId="16" borderId="19" xfId="34" applyFont="1" applyFill="1" applyBorder="1" applyAlignment="1">
      <alignment horizontal="left"/>
    </xf>
    <xf numFmtId="0" fontId="55" fillId="0" borderId="0" xfId="34" applyFont="1" applyAlignment="1">
      <alignment horizontal="left"/>
    </xf>
    <xf numFmtId="0" fontId="43" fillId="0" borderId="1" xfId="34" applyFont="1" applyBorder="1" applyAlignment="1">
      <alignment horizontal="left" vertical="top" wrapText="1"/>
    </xf>
    <xf numFmtId="0" fontId="43" fillId="0" borderId="2" xfId="34" applyFont="1" applyBorder="1" applyAlignment="1">
      <alignment horizontal="left" vertical="top" wrapText="1"/>
    </xf>
    <xf numFmtId="0" fontId="43" fillId="0" borderId="0" xfId="34" applyFont="1" applyAlignment="1">
      <alignment horizontal="left" vertical="top" wrapText="1"/>
    </xf>
    <xf numFmtId="0" fontId="55" fillId="0" borderId="39" xfId="30" applyFont="1" applyBorder="1" applyAlignment="1">
      <alignment horizontal="center" vertical="center"/>
    </xf>
    <xf numFmtId="0" fontId="55" fillId="0" borderId="0" xfId="30" applyFont="1" applyAlignment="1">
      <alignment horizontal="center" vertical="center"/>
    </xf>
    <xf numFmtId="0" fontId="55" fillId="0" borderId="70" xfId="30" applyFont="1" applyBorder="1" applyAlignment="1">
      <alignment horizontal="center" vertical="center"/>
    </xf>
    <xf numFmtId="0" fontId="55" fillId="0" borderId="45" xfId="30" applyFont="1" applyBorder="1" applyAlignment="1">
      <alignment horizontal="center" textRotation="90" wrapText="1"/>
    </xf>
    <xf numFmtId="0" fontId="55" fillId="0" borderId="73" xfId="30" applyFont="1" applyBorder="1" applyAlignment="1">
      <alignment horizontal="center" textRotation="90" wrapText="1"/>
    </xf>
    <xf numFmtId="0" fontId="54" fillId="0" borderId="75" xfId="30" applyFont="1" applyBorder="1" applyAlignment="1">
      <alignment horizontal="center" wrapText="1"/>
    </xf>
    <xf numFmtId="0" fontId="54" fillId="0" borderId="76" xfId="30" applyFont="1" applyBorder="1" applyAlignment="1">
      <alignment horizontal="center" wrapText="1"/>
    </xf>
    <xf numFmtId="0" fontId="55" fillId="0" borderId="63" xfId="30" applyFont="1" applyBorder="1" applyAlignment="1">
      <alignment horizontal="center" vertical="center"/>
    </xf>
    <xf numFmtId="0" fontId="54" fillId="0" borderId="0" xfId="30" applyFont="1" applyAlignment="1">
      <alignment horizontal="left" vertical="center"/>
    </xf>
    <xf numFmtId="0" fontId="54" fillId="0" borderId="0" xfId="30" applyFont="1" applyAlignment="1">
      <alignment horizontal="left" wrapText="1"/>
    </xf>
    <xf numFmtId="0" fontId="54" fillId="0" borderId="0" xfId="30" applyFont="1" applyAlignment="1">
      <alignment horizontal="left" vertical="center" wrapText="1"/>
    </xf>
  </cellXfs>
  <cellStyles count="35">
    <cellStyle name="Euro" xfId="1" xr:uid="{00000000-0005-0000-0000-000000000000}"/>
    <cellStyle name="Normal_Budget05FSTCrivisi ES 080305" xfId="12" xr:uid="{00000000-0005-0000-0000-000001000000}"/>
    <cellStyle name="Prozent" xfId="19" builtinId="5"/>
    <cellStyle name="Prozent 2" xfId="11" xr:uid="{00000000-0005-0000-0000-000002000000}"/>
    <cellStyle name="Prozent 3" xfId="13" xr:uid="{00000000-0005-0000-0000-000003000000}"/>
    <cellStyle name="Prozent 3 2" xfId="9" xr:uid="{00000000-0005-0000-0000-000004000000}"/>
    <cellStyle name="Prozent 3 2 2" xfId="24" xr:uid="{2EEF41BB-FC26-42FE-9755-9093B7D41D7F}"/>
    <cellStyle name="Prozent 3 2 3" xfId="27" xr:uid="{718E5AF6-2F9D-48EC-88F8-2F44DA0E3A47}"/>
    <cellStyle name="Prozent 4" xfId="26" xr:uid="{5E125A33-A915-46F2-9E17-5219B3601506}"/>
    <cellStyle name="Prozent 4 2" xfId="31" xr:uid="{554B7003-8EBF-4D15-B7E8-C98912F512CD}"/>
    <cellStyle name="Standard" xfId="0" builtinId="0"/>
    <cellStyle name="Standard 2" xfId="7" xr:uid="{00000000-0005-0000-0000-000006000000}"/>
    <cellStyle name="Standard 2 2" xfId="22" xr:uid="{35610C02-A726-4003-BDC7-377D3923E2CD}"/>
    <cellStyle name="Standard 24" xfId="32" xr:uid="{C3F88589-733D-4D86-BBBD-239A412D025F}"/>
    <cellStyle name="Standard 3" xfId="14" xr:uid="{00000000-0005-0000-0000-000007000000}"/>
    <cellStyle name="Standard 4" xfId="15" xr:uid="{00000000-0005-0000-0000-000008000000}"/>
    <cellStyle name="Standard 4 2" xfId="6" xr:uid="{00000000-0005-0000-0000-000009000000}"/>
    <cellStyle name="Standard 4 2 2" xfId="16" xr:uid="{00000000-0005-0000-0000-00000A000000}"/>
    <cellStyle name="Standard 4 2 3" xfId="21" xr:uid="{D11B89D2-7A00-416C-B87D-8EDBBE82BAE0}"/>
    <cellStyle name="Standard 5" xfId="17" xr:uid="{00000000-0005-0000-0000-00000B000000}"/>
    <cellStyle name="Standard 6" xfId="18" xr:uid="{00000000-0005-0000-0000-00000C000000}"/>
    <cellStyle name="Standard 7" xfId="28" xr:uid="{7A6A77A5-D6D0-4192-87FB-2413FD86AFC5}"/>
    <cellStyle name="Standard 8" xfId="29" xr:uid="{19A0FB9D-E53E-4752-9D0E-3BA9C9ECC039}"/>
    <cellStyle name="Standard 8 2" xfId="30" xr:uid="{D46B3572-9612-4354-845B-351DE2140CEF}"/>
    <cellStyle name="Standard 9" xfId="34" xr:uid="{BBA87671-B8B4-4B52-B3FE-EB6D1DE16BFB}"/>
    <cellStyle name="Standard_Berechnungsverfahren NRW" xfId="2" xr:uid="{00000000-0005-0000-0000-00000D000000}"/>
    <cellStyle name="Standard_Berechnungsverfahren NRW 2" xfId="10" xr:uid="{00000000-0005-0000-0000-00000E000000}"/>
    <cellStyle name="Standard_Berechnungsverfahren NRW 2 2" xfId="25" xr:uid="{3D9760FE-4FDE-43F8-A053-D197E49CC53F}"/>
    <cellStyle name="Standard_Beschriftung" xfId="33" xr:uid="{3D6C34D6-99B7-47A5-9090-1BD403416B35}"/>
    <cellStyle name="Standard_Flächenbedarf D" xfId="3" xr:uid="{00000000-0005-0000-0000-00000F000000}"/>
    <cellStyle name="Standard_Flächenbedarf D 2" xfId="8" xr:uid="{00000000-0005-0000-0000-000010000000}"/>
    <cellStyle name="Standard_Flächenbedarf D 2 2" xfId="23" xr:uid="{F77B38CF-7978-4A74-BA75-6B6BDA3DCB5A}"/>
    <cellStyle name="Standard_Kennwertverfahren_Nat" xfId="4" xr:uid="{00000000-0005-0000-0000-000011000000}"/>
    <cellStyle name="Standard_Nutzermatrix D" xfId="5" xr:uid="{00000000-0005-0000-0000-000012000000}"/>
    <cellStyle name="Währung" xfId="20" builtinId="4"/>
  </cellStyles>
  <dxfs count="173">
    <dxf>
      <font>
        <b val="0"/>
        <i val="0"/>
        <condense val="0"/>
        <extend val="0"/>
        <color indexed="9"/>
      </font>
    </dxf>
    <dxf>
      <font>
        <strike val="0"/>
        <color theme="0"/>
      </font>
    </dxf>
    <dxf>
      <font>
        <condense val="0"/>
        <extend val="0"/>
        <color indexed="24"/>
      </font>
    </dxf>
    <dxf>
      <font>
        <color theme="0"/>
      </font>
      <fill>
        <patternFill>
          <bgColor rgb="FFFF0000"/>
        </patternFill>
      </fill>
    </dxf>
    <dxf>
      <font>
        <color rgb="FF006100"/>
      </font>
      <fill>
        <patternFill>
          <bgColor rgb="FFC6EFCE"/>
        </patternFill>
      </fill>
    </dxf>
    <dxf>
      <font>
        <strike val="0"/>
        <color rgb="FF00B050"/>
      </font>
      <fill>
        <patternFill>
          <bgColor rgb="FF00B050"/>
        </patternFill>
      </fill>
    </dxf>
    <dxf>
      <font>
        <color rgb="FFFF0000"/>
      </font>
      <fill>
        <patternFill>
          <bgColor rgb="FFFF0000"/>
        </patternFill>
      </fill>
    </dxf>
    <dxf>
      <font>
        <b val="0"/>
        <i val="0"/>
        <condense val="0"/>
        <extend val="0"/>
        <color indexed="9"/>
      </font>
    </dxf>
    <dxf>
      <font>
        <color theme="0"/>
      </font>
    </dxf>
    <dxf>
      <font>
        <strike val="0"/>
        <color theme="0"/>
      </font>
    </dxf>
    <dxf>
      <font>
        <strike val="0"/>
        <color theme="0"/>
      </font>
    </dxf>
    <dxf>
      <font>
        <condense val="0"/>
        <extend val="0"/>
        <color indexed="24"/>
      </font>
    </dxf>
    <dxf>
      <font>
        <condense val="0"/>
        <extend val="0"/>
        <color indexed="24"/>
      </font>
    </dxf>
    <dxf>
      <font>
        <color theme="0"/>
      </font>
      <fill>
        <patternFill>
          <bgColor rgb="FFFF0000"/>
        </patternFill>
      </fill>
    </dxf>
    <dxf>
      <font>
        <color rgb="FF006100"/>
      </font>
      <fill>
        <patternFill>
          <bgColor rgb="FFC6EFCE"/>
        </patternFill>
      </fill>
    </dxf>
    <dxf>
      <font>
        <strike val="0"/>
        <color rgb="FF00B050"/>
      </font>
      <fill>
        <patternFill>
          <bgColor rgb="FF00B050"/>
        </patternFill>
      </fill>
    </dxf>
    <dxf>
      <font>
        <color rgb="FFFF0000"/>
      </font>
      <fill>
        <patternFill>
          <bgColor rgb="FFFF0000"/>
        </patternFill>
      </fill>
    </dxf>
    <dxf>
      <font>
        <b val="0"/>
        <i val="0"/>
        <condense val="0"/>
        <extend val="0"/>
        <color indexed="9"/>
      </font>
    </dxf>
    <dxf>
      <font>
        <color theme="0"/>
      </font>
    </dxf>
    <dxf>
      <font>
        <b val="0"/>
        <i val="0"/>
        <condense val="0"/>
        <extend val="0"/>
        <color indexed="9"/>
      </font>
    </dxf>
    <dxf>
      <font>
        <strike val="0"/>
        <color theme="0"/>
      </font>
    </dxf>
    <dxf>
      <font>
        <strike val="0"/>
        <color theme="0"/>
      </font>
    </dxf>
    <dxf>
      <font>
        <condense val="0"/>
        <extend val="0"/>
        <color indexed="24"/>
      </font>
    </dxf>
    <dxf>
      <font>
        <condense val="0"/>
        <extend val="0"/>
        <color indexed="24"/>
      </font>
    </dxf>
    <dxf>
      <font>
        <color theme="0"/>
      </font>
      <fill>
        <patternFill>
          <bgColor rgb="FFFF0000"/>
        </patternFill>
      </fill>
    </dxf>
    <dxf>
      <font>
        <color rgb="FF006100"/>
      </font>
      <fill>
        <patternFill>
          <bgColor rgb="FFC6EFCE"/>
        </patternFill>
      </fill>
    </dxf>
    <dxf>
      <font>
        <b val="0"/>
        <i val="0"/>
        <condense val="0"/>
        <extend val="0"/>
        <color indexed="9"/>
      </font>
    </dxf>
    <dxf>
      <font>
        <color theme="0"/>
      </font>
    </dxf>
    <dxf>
      <font>
        <b val="0"/>
        <i val="0"/>
        <condense val="0"/>
        <extend val="0"/>
        <color indexed="9"/>
      </font>
    </dxf>
    <dxf>
      <font>
        <strike val="0"/>
        <color theme="0"/>
      </font>
    </dxf>
    <dxf>
      <font>
        <strike val="0"/>
        <color theme="0"/>
      </font>
    </dxf>
    <dxf>
      <font>
        <condense val="0"/>
        <extend val="0"/>
        <color indexed="24"/>
      </font>
    </dxf>
    <dxf>
      <font>
        <condense val="0"/>
        <extend val="0"/>
        <color indexed="24"/>
      </font>
    </dxf>
    <dxf>
      <font>
        <color theme="0"/>
      </font>
      <fill>
        <patternFill>
          <bgColor rgb="FFFF0000"/>
        </patternFill>
      </fill>
    </dxf>
    <dxf>
      <font>
        <color rgb="FF006100"/>
      </font>
      <fill>
        <patternFill>
          <bgColor rgb="FFC6EFCE"/>
        </patternFill>
      </fill>
    </dxf>
    <dxf>
      <font>
        <strike val="0"/>
        <color rgb="FF00B050"/>
      </font>
      <fill>
        <patternFill>
          <bgColor rgb="FF00B050"/>
        </patternFill>
      </fill>
    </dxf>
    <dxf>
      <font>
        <color rgb="FFFF0000"/>
      </font>
      <fill>
        <patternFill>
          <bgColor rgb="FFFF0000"/>
        </patternFill>
      </fill>
    </dxf>
    <dxf>
      <font>
        <b val="0"/>
        <i val="0"/>
        <condense val="0"/>
        <extend val="0"/>
        <color indexed="9"/>
      </font>
    </dxf>
    <dxf>
      <font>
        <color theme="0"/>
      </font>
    </dxf>
    <dxf>
      <font>
        <b val="0"/>
        <i val="0"/>
        <condense val="0"/>
        <extend val="0"/>
        <color indexed="9"/>
      </font>
    </dxf>
    <dxf>
      <font>
        <strike val="0"/>
        <color theme="0"/>
      </font>
    </dxf>
    <dxf>
      <font>
        <strike val="0"/>
        <color theme="0"/>
      </font>
    </dxf>
    <dxf>
      <font>
        <condense val="0"/>
        <extend val="0"/>
        <color indexed="24"/>
      </font>
    </dxf>
    <dxf>
      <font>
        <condense val="0"/>
        <extend val="0"/>
        <color indexed="24"/>
      </font>
    </dxf>
    <dxf>
      <font>
        <color theme="0"/>
      </font>
      <fill>
        <patternFill>
          <bgColor rgb="FFFF0000"/>
        </patternFill>
      </fill>
    </dxf>
    <dxf>
      <font>
        <color rgb="FF006100"/>
      </font>
      <fill>
        <patternFill>
          <bgColor rgb="FFC6EFCE"/>
        </patternFill>
      </fill>
    </dxf>
    <dxf>
      <font>
        <strike val="0"/>
        <color rgb="FF00B050"/>
      </font>
      <fill>
        <patternFill>
          <bgColor rgb="FF00B050"/>
        </patternFill>
      </fill>
    </dxf>
    <dxf>
      <font>
        <color rgb="FFFF0000"/>
      </font>
      <fill>
        <patternFill>
          <bgColor rgb="FFFF0000"/>
        </patternFill>
      </fill>
    </dxf>
    <dxf>
      <font>
        <b val="0"/>
        <i val="0"/>
        <condense val="0"/>
        <extend val="0"/>
        <color indexed="9"/>
      </font>
    </dxf>
    <dxf>
      <font>
        <color theme="0"/>
      </font>
    </dxf>
    <dxf>
      <font>
        <b val="0"/>
        <i val="0"/>
        <condense val="0"/>
        <extend val="0"/>
        <color indexed="9"/>
      </font>
    </dxf>
    <dxf>
      <font>
        <strike val="0"/>
        <color theme="0"/>
      </font>
    </dxf>
    <dxf>
      <font>
        <strike val="0"/>
        <color theme="0"/>
      </font>
    </dxf>
    <dxf>
      <font>
        <condense val="0"/>
        <extend val="0"/>
        <color indexed="24"/>
      </font>
    </dxf>
    <dxf>
      <font>
        <condense val="0"/>
        <extend val="0"/>
        <color indexed="24"/>
      </font>
    </dxf>
    <dxf>
      <font>
        <color theme="0"/>
      </font>
      <fill>
        <patternFill>
          <bgColor rgb="FFFF0000"/>
        </patternFill>
      </fill>
    </dxf>
    <dxf>
      <font>
        <color rgb="FF006100"/>
      </font>
      <fill>
        <patternFill>
          <bgColor rgb="FFC6EFCE"/>
        </patternFill>
      </fill>
    </dxf>
    <dxf>
      <font>
        <strike val="0"/>
        <color rgb="FF00B050"/>
      </font>
      <fill>
        <patternFill>
          <bgColor rgb="FF00B050"/>
        </patternFill>
      </fill>
    </dxf>
    <dxf>
      <font>
        <color rgb="FFFF0000"/>
      </font>
      <fill>
        <patternFill>
          <bgColor rgb="FFFF0000"/>
        </patternFill>
      </fill>
    </dxf>
    <dxf>
      <font>
        <b val="0"/>
        <i val="0"/>
        <condense val="0"/>
        <extend val="0"/>
        <color indexed="9"/>
      </font>
    </dxf>
    <dxf>
      <font>
        <color theme="0"/>
      </font>
    </dxf>
    <dxf>
      <font>
        <b val="0"/>
        <i val="0"/>
        <condense val="0"/>
        <extend val="0"/>
        <color indexed="9"/>
      </font>
    </dxf>
    <dxf>
      <font>
        <strike val="0"/>
        <color theme="0"/>
      </font>
    </dxf>
    <dxf>
      <font>
        <strike val="0"/>
        <color theme="0"/>
      </font>
    </dxf>
    <dxf>
      <font>
        <condense val="0"/>
        <extend val="0"/>
        <color indexed="24"/>
      </font>
    </dxf>
    <dxf>
      <font>
        <condense val="0"/>
        <extend val="0"/>
        <color indexed="24"/>
      </font>
    </dxf>
    <dxf>
      <font>
        <color theme="0"/>
      </font>
      <fill>
        <patternFill>
          <bgColor rgb="FFFF0000"/>
        </patternFill>
      </fill>
    </dxf>
    <dxf>
      <font>
        <color rgb="FF006100"/>
      </font>
      <fill>
        <patternFill>
          <bgColor rgb="FFC6EFCE"/>
        </patternFill>
      </fill>
    </dxf>
    <dxf>
      <font>
        <strike val="0"/>
        <color rgb="FF00B050"/>
      </font>
      <fill>
        <patternFill>
          <bgColor rgb="FF00B050"/>
        </patternFill>
      </fill>
    </dxf>
    <dxf>
      <font>
        <color rgb="FFFF0000"/>
      </font>
      <fill>
        <patternFill>
          <bgColor rgb="FFFF0000"/>
        </patternFill>
      </fill>
    </dxf>
    <dxf>
      <font>
        <b val="0"/>
        <i val="0"/>
        <condense val="0"/>
        <extend val="0"/>
        <color indexed="9"/>
      </font>
    </dxf>
    <dxf>
      <font>
        <color theme="0"/>
      </font>
    </dxf>
    <dxf>
      <font>
        <b val="0"/>
        <i val="0"/>
        <condense val="0"/>
        <extend val="0"/>
        <color indexed="9"/>
      </font>
    </dxf>
    <dxf>
      <font>
        <strike val="0"/>
        <color theme="0"/>
      </font>
    </dxf>
    <dxf>
      <font>
        <strike val="0"/>
        <color theme="0"/>
      </font>
    </dxf>
    <dxf>
      <font>
        <condense val="0"/>
        <extend val="0"/>
        <color indexed="24"/>
      </font>
    </dxf>
    <dxf>
      <font>
        <condense val="0"/>
        <extend val="0"/>
        <color indexed="24"/>
      </font>
    </dxf>
    <dxf>
      <font>
        <color theme="0"/>
      </font>
      <fill>
        <patternFill>
          <bgColor rgb="FFFF0000"/>
        </patternFill>
      </fill>
    </dxf>
    <dxf>
      <font>
        <color rgb="FF006100"/>
      </font>
      <fill>
        <patternFill>
          <bgColor rgb="FFC6EFCE"/>
        </patternFill>
      </fill>
    </dxf>
    <dxf>
      <font>
        <strike val="0"/>
        <color rgb="FF00B050"/>
      </font>
      <fill>
        <patternFill>
          <bgColor rgb="FF00B050"/>
        </patternFill>
      </fill>
    </dxf>
    <dxf>
      <font>
        <color rgb="FFFF0000"/>
      </font>
      <fill>
        <patternFill>
          <bgColor rgb="FFFF0000"/>
        </patternFill>
      </fill>
    </dxf>
    <dxf>
      <font>
        <b val="0"/>
        <i val="0"/>
        <condense val="0"/>
        <extend val="0"/>
        <color indexed="9"/>
      </font>
    </dxf>
    <dxf>
      <font>
        <color theme="0"/>
      </font>
    </dxf>
    <dxf>
      <font>
        <b val="0"/>
        <i val="0"/>
        <condense val="0"/>
        <extend val="0"/>
        <color indexed="9"/>
      </font>
    </dxf>
    <dxf>
      <font>
        <strike val="0"/>
        <color theme="0"/>
      </font>
    </dxf>
    <dxf>
      <font>
        <strike val="0"/>
        <color theme="0"/>
      </font>
    </dxf>
    <dxf>
      <font>
        <condense val="0"/>
        <extend val="0"/>
        <color indexed="24"/>
      </font>
    </dxf>
    <dxf>
      <font>
        <condense val="0"/>
        <extend val="0"/>
        <color indexed="24"/>
      </font>
    </dxf>
    <dxf>
      <font>
        <color theme="0"/>
      </font>
      <fill>
        <patternFill>
          <bgColor rgb="FFFF0000"/>
        </patternFill>
      </fill>
    </dxf>
    <dxf>
      <font>
        <color rgb="FF006100"/>
      </font>
      <fill>
        <patternFill>
          <bgColor rgb="FFC6EFCE"/>
        </patternFill>
      </fill>
    </dxf>
    <dxf>
      <font>
        <strike val="0"/>
        <color rgb="FF00B050"/>
      </font>
      <fill>
        <patternFill>
          <bgColor rgb="FF00B050"/>
        </patternFill>
      </fill>
    </dxf>
    <dxf>
      <font>
        <color rgb="FFFF0000"/>
      </font>
      <fill>
        <patternFill>
          <bgColor rgb="FFFF0000"/>
        </patternFill>
      </fill>
    </dxf>
    <dxf>
      <font>
        <b val="0"/>
        <i val="0"/>
        <condense val="0"/>
        <extend val="0"/>
        <color indexed="9"/>
      </font>
    </dxf>
    <dxf>
      <font>
        <color theme="0"/>
      </font>
    </dxf>
    <dxf>
      <font>
        <b val="0"/>
        <i val="0"/>
        <condense val="0"/>
        <extend val="0"/>
        <color indexed="9"/>
      </font>
    </dxf>
    <dxf>
      <font>
        <strike val="0"/>
        <color theme="0"/>
      </font>
    </dxf>
    <dxf>
      <font>
        <strike val="0"/>
        <color theme="0"/>
      </font>
    </dxf>
    <dxf>
      <font>
        <condense val="0"/>
        <extend val="0"/>
        <color indexed="24"/>
      </font>
    </dxf>
    <dxf>
      <font>
        <condense val="0"/>
        <extend val="0"/>
        <color indexed="24"/>
      </font>
    </dxf>
    <dxf>
      <font>
        <color theme="0"/>
      </font>
      <fill>
        <patternFill>
          <bgColor rgb="FFFF0000"/>
        </patternFill>
      </fill>
    </dxf>
    <dxf>
      <font>
        <color rgb="FF006100"/>
      </font>
      <fill>
        <patternFill>
          <bgColor rgb="FFC6EFCE"/>
        </patternFill>
      </fill>
    </dxf>
    <dxf>
      <font>
        <strike val="0"/>
        <color rgb="FF00B050"/>
      </font>
      <fill>
        <patternFill>
          <bgColor rgb="FF00B050"/>
        </patternFill>
      </fill>
    </dxf>
    <dxf>
      <font>
        <color rgb="FFFF0000"/>
      </font>
      <fill>
        <patternFill>
          <bgColor rgb="FFFF0000"/>
        </patternFill>
      </fill>
    </dxf>
    <dxf>
      <font>
        <b val="0"/>
        <i val="0"/>
        <condense val="0"/>
        <extend val="0"/>
        <color indexed="9"/>
      </font>
    </dxf>
    <dxf>
      <font>
        <color theme="0"/>
      </font>
    </dxf>
    <dxf>
      <font>
        <b val="0"/>
        <i val="0"/>
        <condense val="0"/>
        <extend val="0"/>
        <color indexed="9"/>
      </font>
    </dxf>
    <dxf>
      <font>
        <strike val="0"/>
        <color theme="0"/>
      </font>
    </dxf>
    <dxf>
      <font>
        <strike val="0"/>
        <color theme="0"/>
      </font>
    </dxf>
    <dxf>
      <font>
        <condense val="0"/>
        <extend val="0"/>
        <color indexed="24"/>
      </font>
    </dxf>
    <dxf>
      <font>
        <condense val="0"/>
        <extend val="0"/>
        <color indexed="24"/>
      </font>
    </dxf>
    <dxf>
      <font>
        <color theme="0"/>
      </font>
      <fill>
        <patternFill>
          <bgColor rgb="FFFF0000"/>
        </patternFill>
      </fill>
    </dxf>
    <dxf>
      <font>
        <color rgb="FF006100"/>
      </font>
      <fill>
        <patternFill>
          <bgColor rgb="FFC6EFCE"/>
        </patternFill>
      </fill>
    </dxf>
    <dxf>
      <font>
        <strike val="0"/>
        <color rgb="FF00B050"/>
      </font>
      <fill>
        <patternFill>
          <bgColor rgb="FF00B050"/>
        </patternFill>
      </fill>
    </dxf>
    <dxf>
      <font>
        <color rgb="FFFF0000"/>
      </font>
      <fill>
        <patternFill>
          <bgColor rgb="FFFF0000"/>
        </patternFill>
      </fill>
    </dxf>
    <dxf>
      <font>
        <b val="0"/>
        <i val="0"/>
        <condense val="0"/>
        <extend val="0"/>
        <color indexed="9"/>
      </font>
    </dxf>
    <dxf>
      <font>
        <color theme="0"/>
      </font>
    </dxf>
    <dxf>
      <font>
        <b val="0"/>
        <i val="0"/>
        <condense val="0"/>
        <extend val="0"/>
        <color indexed="9"/>
      </font>
    </dxf>
    <dxf>
      <font>
        <strike val="0"/>
        <color theme="0"/>
      </font>
    </dxf>
    <dxf>
      <font>
        <strike val="0"/>
        <color theme="0"/>
      </font>
    </dxf>
    <dxf>
      <font>
        <condense val="0"/>
        <extend val="0"/>
        <color indexed="24"/>
      </font>
    </dxf>
    <dxf>
      <font>
        <condense val="0"/>
        <extend val="0"/>
        <color indexed="24"/>
      </font>
    </dxf>
    <dxf>
      <font>
        <color theme="0"/>
      </font>
      <fill>
        <patternFill>
          <bgColor rgb="FFFF0000"/>
        </patternFill>
      </fill>
    </dxf>
    <dxf>
      <font>
        <color rgb="FF006100"/>
      </font>
      <fill>
        <patternFill>
          <bgColor rgb="FFC6EFCE"/>
        </patternFill>
      </fill>
    </dxf>
    <dxf>
      <font>
        <strike val="0"/>
        <color rgb="FF00B050"/>
      </font>
      <fill>
        <patternFill>
          <bgColor rgb="FF00B050"/>
        </patternFill>
      </fill>
    </dxf>
    <dxf>
      <font>
        <color rgb="FFFF0000"/>
      </font>
      <fill>
        <patternFill>
          <bgColor rgb="FFFF0000"/>
        </patternFill>
      </fill>
    </dxf>
    <dxf>
      <font>
        <b val="0"/>
        <i val="0"/>
        <condense val="0"/>
        <extend val="0"/>
        <color indexed="9"/>
      </font>
    </dxf>
    <dxf>
      <font>
        <color theme="0"/>
      </font>
    </dxf>
    <dxf>
      <font>
        <color theme="0"/>
      </font>
    </dxf>
    <dxf>
      <font>
        <b val="0"/>
        <i val="0"/>
        <condense val="0"/>
        <extend val="0"/>
        <color indexed="9"/>
      </font>
    </dxf>
    <dxf>
      <font>
        <strike val="0"/>
        <color theme="0"/>
      </font>
    </dxf>
    <dxf>
      <font>
        <strike val="0"/>
        <color theme="0"/>
      </font>
    </dxf>
    <dxf>
      <font>
        <condense val="0"/>
        <extend val="0"/>
        <color indexed="24"/>
      </font>
    </dxf>
    <dxf>
      <font>
        <condense val="0"/>
        <extend val="0"/>
        <color indexed="24"/>
      </font>
    </dxf>
    <dxf>
      <font>
        <color theme="0"/>
      </font>
      <fill>
        <patternFill>
          <bgColor rgb="FFFF0000"/>
        </patternFill>
      </fill>
    </dxf>
    <dxf>
      <font>
        <color rgb="FF006100"/>
      </font>
      <fill>
        <patternFill>
          <bgColor rgb="FFC6EFCE"/>
        </patternFill>
      </fill>
    </dxf>
    <dxf>
      <font>
        <strike val="0"/>
        <color rgb="FF00B050"/>
      </font>
      <fill>
        <patternFill>
          <bgColor rgb="FF00B050"/>
        </patternFill>
      </fill>
    </dxf>
    <dxf>
      <font>
        <color rgb="FFFF0000"/>
      </font>
      <fill>
        <patternFill>
          <bgColor rgb="FFFF0000"/>
        </patternFill>
      </fill>
    </dxf>
    <dxf>
      <font>
        <b val="0"/>
        <i val="0"/>
        <condense val="0"/>
        <extend val="0"/>
        <color indexed="9"/>
      </font>
    </dxf>
    <dxf>
      <font>
        <color theme="0"/>
      </font>
    </dxf>
    <dxf>
      <font>
        <b val="0"/>
        <i val="0"/>
        <condense val="0"/>
        <extend val="0"/>
        <color indexed="9"/>
      </font>
    </dxf>
    <dxf>
      <font>
        <strike val="0"/>
        <color theme="0"/>
      </font>
    </dxf>
    <dxf>
      <font>
        <strike val="0"/>
        <color theme="0"/>
      </font>
    </dxf>
    <dxf>
      <font>
        <condense val="0"/>
        <extend val="0"/>
        <color indexed="24"/>
      </font>
    </dxf>
    <dxf>
      <font>
        <condense val="0"/>
        <extend val="0"/>
        <color indexed="24"/>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condense val="0"/>
        <extend val="0"/>
        <color indexed="24"/>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AD8CC"/>
      <rgbColor rgb="00F4F6F7"/>
      <rgbColor rgb="00E9E8E0"/>
      <rgbColor rgb="009DBAA4"/>
      <rgbColor rgb="003388C1"/>
      <rgbColor rgb="00FF9933"/>
      <rgbColor rgb="00F1F0EB"/>
      <rgbColor rgb="00EFE7D2"/>
      <rgbColor rgb="00E1E0D6"/>
      <rgbColor rgb="00347F5A"/>
      <rgbColor rgb="00006AB2"/>
      <rgbColor rgb="003399FF"/>
      <rgbColor rgb="00526C8E"/>
      <rgbColor rgb="00DFD0A5"/>
      <rgbColor rgb="00E9EEF0"/>
      <rgbColor rgb="00D3DBE0"/>
      <rgbColor rgb="00FFFF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9C3E1"/>
      <rgbColor rgb="00F7F3E8"/>
      <rgbColor rgb="00CEDCD0"/>
      <rgbColor rgb="00FFFF99"/>
      <rgbColor rgb="00CCE1F0"/>
      <rgbColor rgb="00F8F7F5"/>
      <rgbColor rgb="00C1C7D5"/>
      <rgbColor rgb="00F0D4CA"/>
      <rgbColor rgb="0066A6D1"/>
      <rgbColor rgb="00E6DCBB"/>
      <rgbColor rgb="00FF3300"/>
      <rgbColor rgb="00E0A998"/>
      <rgbColor rgb="00D17C69"/>
      <rgbColor rgb="00C24F44"/>
      <rgbColor rgb="001C4A70"/>
      <rgbColor rgb="00DDE4E8"/>
      <rgbColor rgb="00D7C58E"/>
      <rgbColor rgb="006C9C7D"/>
      <rgbColor rgb="0000683E"/>
      <rgbColor rgb="0099CC00"/>
      <rgbColor rgb="00B5152A"/>
      <rgbColor rgb="008896B0"/>
      <rgbColor rgb="00002F56"/>
      <rgbColor rgb="00C8D3D9"/>
    </indexedColors>
    <mruColors>
      <color rgb="FFCCE1F0"/>
      <color rgb="FF66A6D1"/>
      <color rgb="FF006A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HIS-HE">
      <a:dk1>
        <a:sysClr val="windowText" lastClr="000000"/>
      </a:dk1>
      <a:lt1>
        <a:sysClr val="window" lastClr="FFFFFF"/>
      </a:lt1>
      <a:dk2>
        <a:srgbClr val="44546A"/>
      </a:dk2>
      <a:lt2>
        <a:srgbClr val="E7E6E6"/>
      </a:lt2>
      <a:accent1>
        <a:srgbClr val="1C296B"/>
      </a:accent1>
      <a:accent2>
        <a:srgbClr val="ED9B29"/>
      </a:accent2>
      <a:accent3>
        <a:srgbClr val="61945C"/>
      </a:accent3>
      <a:accent4>
        <a:srgbClr val="B33B85"/>
      </a:accent4>
      <a:accent5>
        <a:srgbClr val="EB5B3C"/>
      </a:accent5>
      <a:accent6>
        <a:srgbClr val="A4BAE1"/>
      </a:accent6>
      <a:hlink>
        <a:srgbClr val="07A896"/>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062CE-38CA-449E-A237-0C98042C4E4F}">
  <sheetPr>
    <tabColor theme="8" tint="0.79998168889431442"/>
  </sheetPr>
  <dimension ref="A1:F28"/>
  <sheetViews>
    <sheetView showGridLines="0" showZeros="0" tabSelected="1" zoomScale="115" zoomScaleNormal="115" zoomScaleSheetLayoutView="115" workbookViewId="0">
      <selection activeCell="B4" sqref="B4"/>
    </sheetView>
  </sheetViews>
  <sheetFormatPr baseColWidth="10" defaultColWidth="11.453125" defaultRowHeight="10"/>
  <cols>
    <col min="1" max="1" width="0.54296875" style="202" customWidth="1"/>
    <col min="2" max="2" width="9.54296875" style="202" customWidth="1"/>
    <col min="3" max="3" width="6.54296875" style="202" customWidth="1"/>
    <col min="4" max="4" width="5.54296875" style="202" customWidth="1"/>
    <col min="5" max="5" width="5.453125" style="202" customWidth="1"/>
    <col min="6" max="6" width="1.81640625" style="202" customWidth="1"/>
    <col min="7" max="16384" width="11.453125" style="202"/>
  </cols>
  <sheetData>
    <row r="1" spans="1:6">
      <c r="A1" s="206"/>
      <c r="B1" s="206"/>
      <c r="C1" s="206"/>
      <c r="D1" s="206"/>
      <c r="E1" s="206"/>
      <c r="F1" s="206"/>
    </row>
    <row r="2" spans="1:6" ht="11.25" customHeight="1">
      <c r="A2" s="909"/>
      <c r="B2" s="910"/>
      <c r="C2" s="910"/>
      <c r="D2" s="910"/>
      <c r="E2" s="910"/>
      <c r="F2" s="545"/>
    </row>
    <row r="3" spans="1:6" s="203" customFormat="1" ht="11.5" customHeight="1">
      <c r="A3" s="235"/>
      <c r="B3" s="24"/>
      <c r="C3" s="204"/>
      <c r="D3" s="204"/>
      <c r="E3" s="204"/>
      <c r="F3" s="911"/>
    </row>
    <row r="4" spans="1:6" s="203" customFormat="1" ht="15" customHeight="1">
      <c r="A4" s="235"/>
      <c r="B4" s="912" t="s">
        <v>124</v>
      </c>
      <c r="C4" s="1058"/>
      <c r="D4" s="1058"/>
      <c r="E4" s="1058"/>
      <c r="F4" s="911"/>
    </row>
    <row r="5" spans="1:6" s="203" customFormat="1" ht="15" customHeight="1">
      <c r="A5" s="235"/>
      <c r="B5" s="913"/>
      <c r="C5" s="1059"/>
      <c r="D5" s="1059"/>
      <c r="E5" s="1059"/>
      <c r="F5" s="911"/>
    </row>
    <row r="6" spans="1:6" s="203" customFormat="1" ht="11.5" customHeight="1">
      <c r="A6" s="235"/>
      <c r="C6" s="204"/>
      <c r="D6" s="204"/>
      <c r="E6" s="204"/>
      <c r="F6" s="911"/>
    </row>
    <row r="7" spans="1:6" s="203" customFormat="1" ht="11.5" customHeight="1">
      <c r="A7" s="235"/>
      <c r="C7" s="56"/>
      <c r="D7" s="56"/>
      <c r="E7" s="56"/>
      <c r="F7" s="911"/>
    </row>
    <row r="8" spans="1:6" s="203" customFormat="1" ht="11.5" customHeight="1">
      <c r="A8" s="235"/>
      <c r="B8" s="56"/>
      <c r="C8" s="56"/>
      <c r="D8" s="56"/>
      <c r="E8" s="56"/>
      <c r="F8" s="911"/>
    </row>
    <row r="9" spans="1:6" s="203" customFormat="1" ht="11.5" customHeight="1">
      <c r="A9" s="235"/>
      <c r="B9" s="914" t="s">
        <v>8</v>
      </c>
      <c r="F9" s="911"/>
    </row>
    <row r="10" spans="1:6" s="203" customFormat="1" ht="11.5" customHeight="1">
      <c r="A10" s="235"/>
      <c r="B10" s="56"/>
      <c r="F10" s="911"/>
    </row>
    <row r="11" spans="1:6" s="203" customFormat="1" ht="11.5" customHeight="1">
      <c r="A11" s="235"/>
      <c r="C11" s="56"/>
      <c r="F11" s="911"/>
    </row>
    <row r="12" spans="1:6" s="203" customFormat="1">
      <c r="A12" s="235"/>
      <c r="B12" s="204"/>
      <c r="C12" s="915"/>
      <c r="D12" s="916" t="s">
        <v>73</v>
      </c>
      <c r="E12" s="917"/>
      <c r="F12" s="911"/>
    </row>
    <row r="13" spans="1:6" s="203" customFormat="1" ht="11.25" customHeight="1">
      <c r="A13" s="235"/>
      <c r="B13" s="204"/>
      <c r="C13" s="918"/>
      <c r="D13" s="919" t="s">
        <v>75</v>
      </c>
      <c r="E13" s="917"/>
      <c r="F13" s="911"/>
    </row>
    <row r="14" spans="1:6" s="203" customFormat="1">
      <c r="A14" s="235"/>
      <c r="B14" s="204"/>
      <c r="C14" s="915"/>
      <c r="D14" s="919" t="s">
        <v>185</v>
      </c>
      <c r="E14" s="764"/>
      <c r="F14" s="911"/>
    </row>
    <row r="15" spans="1:6" s="203" customFormat="1" ht="11.5" customHeight="1">
      <c r="A15" s="235"/>
      <c r="B15" s="204"/>
      <c r="C15" s="915"/>
      <c r="D15" s="919" t="s">
        <v>186</v>
      </c>
      <c r="E15" s="764"/>
      <c r="F15" s="911"/>
    </row>
    <row r="16" spans="1:6" s="203" customFormat="1" ht="11.5" customHeight="1">
      <c r="A16" s="235"/>
      <c r="B16" s="204"/>
      <c r="C16" s="915"/>
      <c r="D16" s="919" t="s">
        <v>300</v>
      </c>
      <c r="E16" s="688"/>
      <c r="F16" s="911"/>
    </row>
    <row r="17" spans="1:6" s="203" customFormat="1" ht="11.5" customHeight="1">
      <c r="A17" s="235"/>
      <c r="B17" s="204"/>
      <c r="C17" s="915"/>
      <c r="D17" s="919" t="s">
        <v>28</v>
      </c>
      <c r="E17" s="764"/>
      <c r="F17" s="911"/>
    </row>
    <row r="18" spans="1:6" s="203" customFormat="1" ht="11.5" customHeight="1">
      <c r="A18" s="235"/>
      <c r="B18" s="204"/>
      <c r="C18" s="915"/>
      <c r="D18" s="919" t="s">
        <v>247</v>
      </c>
      <c r="E18" s="920"/>
      <c r="F18" s="911"/>
    </row>
    <row r="19" spans="1:6" s="203" customFormat="1" ht="11.5" customHeight="1">
      <c r="A19" s="235"/>
      <c r="B19" s="204"/>
      <c r="C19" s="921"/>
      <c r="D19" s="918"/>
      <c r="F19" s="911"/>
    </row>
    <row r="20" spans="1:6" s="203" customFormat="1" ht="11.5" customHeight="1">
      <c r="A20" s="235"/>
      <c r="B20" s="204"/>
      <c r="C20" s="915"/>
      <c r="D20" s="919" t="s">
        <v>301</v>
      </c>
      <c r="E20" s="917"/>
      <c r="F20" s="911"/>
    </row>
    <row r="21" spans="1:6" ht="12.65" customHeight="1">
      <c r="A21" s="210"/>
      <c r="B21" s="206"/>
      <c r="C21" s="915"/>
      <c r="D21" s="919" t="s">
        <v>13</v>
      </c>
      <c r="E21" s="688"/>
      <c r="F21" s="551"/>
    </row>
    <row r="22" spans="1:6" ht="11.15" customHeight="1">
      <c r="A22" s="210"/>
      <c r="B22" s="206"/>
      <c r="C22" s="922"/>
      <c r="D22" s="919" t="s">
        <v>14</v>
      </c>
      <c r="E22" s="688"/>
      <c r="F22" s="551"/>
    </row>
    <row r="23" spans="1:6">
      <c r="A23" s="210"/>
      <c r="B23" s="206"/>
      <c r="C23" s="206"/>
      <c r="D23" s="206"/>
      <c r="E23" s="206"/>
      <c r="F23" s="551"/>
    </row>
    <row r="24" spans="1:6" s="203" customFormat="1" ht="11.5" customHeight="1">
      <c r="A24" s="235"/>
      <c r="B24" s="204"/>
      <c r="C24" s="223" t="s">
        <v>29</v>
      </c>
      <c r="D24" s="1244"/>
      <c r="E24" s="1245"/>
      <c r="F24" s="911"/>
    </row>
    <row r="25" spans="1:6" s="203" customFormat="1" ht="11.5" customHeight="1">
      <c r="A25" s="235"/>
      <c r="B25" s="204"/>
      <c r="C25" s="223" t="s">
        <v>30</v>
      </c>
      <c r="D25" s="1246"/>
      <c r="E25" s="1247"/>
      <c r="F25" s="911"/>
    </row>
    <row r="26" spans="1:6" s="203" customFormat="1" ht="11.5" customHeight="1">
      <c r="A26" s="923"/>
      <c r="B26" s="924"/>
      <c r="C26" s="924"/>
      <c r="D26" s="924"/>
      <c r="E26" s="924"/>
      <c r="F26" s="925"/>
    </row>
    <row r="27" spans="1:6" ht="4.5" customHeight="1"/>
    <row r="28" spans="1:6">
      <c r="B28" s="931" t="s">
        <v>845</v>
      </c>
    </row>
  </sheetData>
  <sheetProtection algorithmName="SHA-512" hashValue="4OZhA4M89Uomh0vF2F6u04NRXRySX6LxjtqJNcr94ivivGYXQxHhPCtcOwZztfN9Evi3iAgRvqHFJttUEFhoFw==" saltValue="Of7JzMdGnhGTmUXghf4QGQ==" spinCount="100000" sheet="1" selectLockedCells="1"/>
  <mergeCells count="2">
    <mergeCell ref="D24:E24"/>
    <mergeCell ref="D25:E25"/>
  </mergeCells>
  <conditionalFormatting sqref="E18">
    <cfRule type="cellIs" dxfId="172" priority="1" stopIfTrue="1" operator="equal">
      <formula>1</formula>
    </cfRule>
  </conditionalFormatting>
  <dataValidations count="3">
    <dataValidation allowBlank="1" showInputMessage="1" showErrorMessage="1" prompt="Diese beiden Angaben werden in die Bemessungsblätter übertragen. Wenn Sie dort andere Daten eintragen möchten, können Sie die Angaben überschreiben." sqref="D24:E24" xr:uid="{FE325EC0-1486-477B-9A87-DFADF1685E8D}"/>
    <dataValidation allowBlank="1" showInputMessage="1" showErrorMessage="1" prompt="Tragen Sie hier den Namen der Hochschule ein. Sie können beide Zeilen nutzen. Der Name wird in die Bemessungsblätter übertragen." sqref="B4" xr:uid="{85A5B54B-0F24-4137-8387-C1343B684F07}"/>
    <dataValidation type="list" allowBlank="1" sqref="E18" xr:uid="{5920B3C2-63AB-47BA-9BB7-2B39AB77C163}">
      <formula1>"ja, nein"</formula1>
    </dataValidation>
  </dataValidations>
  <pageMargins left="0.59055118110236227" right="0.59055118110236227" top="0.78740157480314965" bottom="0.59055118110236227" header="0.51181102362204722" footer="0.27559055118110237"/>
  <pageSetup paperSize="9" scale="79" orientation="portrait" r:id="rId1"/>
  <headerFooter alignWithMargins="0">
    <oddFooter>&amp;C&amp;8Seite &amp;P von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ECDE9-2031-4C9A-B34D-03A326D08569}">
  <sheetPr codeName="Tabelle7">
    <tabColor theme="9" tint="-0.249977111117893"/>
  </sheetPr>
  <dimension ref="A1:X126"/>
  <sheetViews>
    <sheetView showGridLines="0" showZeros="0" zoomScale="115" zoomScaleNormal="115" zoomScaleSheetLayoutView="115" workbookViewId="0">
      <selection activeCell="B9" sqref="B9"/>
    </sheetView>
  </sheetViews>
  <sheetFormatPr baseColWidth="10" defaultColWidth="11.453125" defaultRowHeight="10"/>
  <cols>
    <col min="1" max="1" width="0.54296875" style="1" customWidth="1"/>
    <col min="2" max="2" width="9.54296875" style="1" customWidth="1"/>
    <col min="3" max="3" width="6.54296875" style="1" customWidth="1"/>
    <col min="4" max="4" width="5.54296875" style="1" customWidth="1"/>
    <col min="5" max="5" width="5.453125" style="1" customWidth="1"/>
    <col min="6" max="6" width="1.81640625" style="1" customWidth="1"/>
    <col min="7" max="7" width="1.453125" style="1" customWidth="1"/>
    <col min="8" max="9" width="7.453125" style="1" customWidth="1"/>
    <col min="10" max="10" width="7.453125" style="42" customWidth="1"/>
    <col min="11" max="11" width="7.453125" style="1" customWidth="1"/>
    <col min="12" max="12" width="7.453125" style="42" customWidth="1"/>
    <col min="13" max="13" width="7.453125" style="1" customWidth="1"/>
    <col min="14" max="15" width="7.453125" style="42" customWidth="1"/>
    <col min="16" max="16" width="8.54296875" style="42" customWidth="1"/>
    <col min="17" max="17" width="7.453125" style="42" customWidth="1"/>
    <col min="18" max="18" width="0.81640625" style="42" customWidth="1"/>
    <col min="19" max="19" width="7.453125" style="42" customWidth="1"/>
    <col min="20" max="20" width="1.1796875" style="1" customWidth="1"/>
    <col min="21" max="21" width="7.1796875" style="202" customWidth="1"/>
    <col min="22" max="24" width="7.26953125" style="202" customWidth="1"/>
    <col min="25" max="16384" width="11.453125" style="1"/>
  </cols>
  <sheetData>
    <row r="1" spans="1:24" ht="13" customHeight="1">
      <c r="A1" s="7"/>
      <c r="B1" s="8"/>
      <c r="C1" s="8"/>
      <c r="D1" s="8"/>
      <c r="E1" s="8"/>
      <c r="F1" s="9"/>
      <c r="H1" s="214"/>
      <c r="I1" s="216"/>
      <c r="J1" s="108"/>
      <c r="K1" s="9"/>
      <c r="L1" s="1364" t="s">
        <v>57</v>
      </c>
      <c r="M1" s="1364" t="s">
        <v>108</v>
      </c>
      <c r="N1" s="1364" t="s">
        <v>126</v>
      </c>
      <c r="O1" s="1364" t="s">
        <v>58</v>
      </c>
      <c r="P1" s="1356" t="s">
        <v>11</v>
      </c>
      <c r="Q1" s="1358" t="s">
        <v>113</v>
      </c>
      <c r="R1" s="341"/>
      <c r="S1" s="332"/>
    </row>
    <row r="2" spans="1:24" ht="38.15" customHeight="1">
      <c r="A2" s="13"/>
      <c r="B2" s="2" t="s">
        <v>24</v>
      </c>
      <c r="C2" s="96"/>
      <c r="D2" s="96"/>
      <c r="E2" s="96"/>
      <c r="F2" s="97"/>
      <c r="H2" s="210" t="s">
        <v>111</v>
      </c>
      <c r="I2" s="3"/>
      <c r="J2" s="49"/>
      <c r="K2" s="14"/>
      <c r="L2" s="1365"/>
      <c r="M2" s="1365"/>
      <c r="N2" s="1365"/>
      <c r="O2" s="1365"/>
      <c r="P2" s="1357"/>
      <c r="Q2" s="1359"/>
      <c r="R2" s="341"/>
      <c r="S2" s="332"/>
      <c r="V2" s="12" t="s">
        <v>863</v>
      </c>
    </row>
    <row r="3" spans="1:24" ht="3" customHeight="1">
      <c r="A3" s="98"/>
      <c r="B3" s="99"/>
      <c r="C3" s="99"/>
      <c r="D3" s="99"/>
      <c r="E3" s="99"/>
      <c r="F3" s="100"/>
      <c r="H3" s="215"/>
      <c r="I3" s="217"/>
      <c r="J3" s="218"/>
      <c r="K3" s="100"/>
      <c r="L3" s="4"/>
      <c r="M3" s="4"/>
      <c r="N3" s="4"/>
      <c r="O3" s="4"/>
      <c r="P3" s="5"/>
      <c r="Q3" s="6"/>
      <c r="R3" s="333"/>
      <c r="S3" s="333"/>
    </row>
    <row r="4" spans="1:24">
      <c r="A4" s="2"/>
      <c r="B4" s="2"/>
      <c r="C4" s="2"/>
      <c r="D4" s="2"/>
      <c r="E4" s="2"/>
      <c r="F4" s="2"/>
      <c r="H4" s="3"/>
      <c r="I4" s="3"/>
      <c r="K4" s="10"/>
      <c r="L4" s="11"/>
      <c r="M4" s="3"/>
      <c r="N4" s="11"/>
      <c r="O4" s="11"/>
      <c r="P4" s="11"/>
      <c r="Q4" s="12"/>
      <c r="R4" s="12"/>
      <c r="S4" s="12"/>
    </row>
    <row r="5" spans="1:24" ht="11.25" customHeight="1">
      <c r="A5" s="7"/>
      <c r="B5" s="8"/>
      <c r="C5" s="8"/>
      <c r="D5" s="8"/>
      <c r="E5" s="8"/>
      <c r="F5" s="9"/>
      <c r="H5" s="15" t="s">
        <v>87</v>
      </c>
      <c r="I5" s="3"/>
      <c r="K5" s="10"/>
      <c r="L5" s="11"/>
      <c r="M5" s="3"/>
      <c r="N5" s="11"/>
      <c r="O5" s="11"/>
      <c r="P5" s="11"/>
      <c r="Q5" s="12"/>
      <c r="R5" s="12"/>
      <c r="S5" s="12"/>
      <c r="V5" s="1225"/>
      <c r="W5" s="1226"/>
      <c r="X5" s="1227"/>
    </row>
    <row r="6" spans="1:24" s="19" customFormat="1" ht="11.5" customHeight="1">
      <c r="A6" s="16"/>
      <c r="B6" s="24"/>
      <c r="C6" s="17"/>
      <c r="D6" s="17"/>
      <c r="E6" s="17"/>
      <c r="F6" s="18"/>
      <c r="H6" s="203" t="s">
        <v>0</v>
      </c>
      <c r="I6" s="17"/>
      <c r="L6" s="339">
        <f>IF(E15&gt;0,E15,0)</f>
        <v>0</v>
      </c>
      <c r="M6" s="20">
        <f>IF(E15&gt;0,'HAW-Kennwerte'!C12,0)</f>
        <v>0</v>
      </c>
      <c r="N6" s="205">
        <f>IF(L6&gt;0,IF(E21="ja",'HAW-Kennwerte'!D12,1),0)</f>
        <v>0</v>
      </c>
      <c r="O6" s="22"/>
      <c r="P6" s="23">
        <f>L6*M6*N6</f>
        <v>0</v>
      </c>
      <c r="Q6" s="328">
        <f>IF(P6&gt;0,'HAW-Kennwerte'!Z9,0)</f>
        <v>0</v>
      </c>
      <c r="R6" s="328"/>
      <c r="S6" s="328"/>
      <c r="U6" s="203"/>
      <c r="V6" s="1200"/>
      <c r="W6" s="1201"/>
      <c r="X6" s="1202"/>
    </row>
    <row r="7" spans="1:24" s="19" customFormat="1" ht="11.5" customHeight="1">
      <c r="A7" s="16"/>
      <c r="B7" s="928" t="str">
        <f>HAW!B4</f>
        <v>Hochschule …</v>
      </c>
      <c r="C7" s="928"/>
      <c r="D7" s="928"/>
      <c r="E7" s="928"/>
      <c r="F7" s="18"/>
      <c r="H7" s="203" t="s">
        <v>1</v>
      </c>
      <c r="I7" s="17"/>
      <c r="L7" s="340">
        <f>IF(E15-E16&lt;0,0,IF(E23&gt;E16,0,E23))</f>
        <v>0</v>
      </c>
      <c r="M7" s="20">
        <f>IF(L7&gt;0,'HAW-Kennwerte'!K12,0)</f>
        <v>0</v>
      </c>
      <c r="N7" s="25"/>
      <c r="O7" s="22"/>
      <c r="P7" s="27">
        <f>IFERROR(L7*M7,"")</f>
        <v>0</v>
      </c>
      <c r="Q7" s="329">
        <f>IF(P7&gt;0,'HAW-Kennwerte'!AA12,0)</f>
        <v>0</v>
      </c>
      <c r="R7" s="329"/>
      <c r="S7" s="329"/>
      <c r="U7" s="203"/>
      <c r="V7" s="1200"/>
      <c r="W7" s="1201"/>
      <c r="X7" s="1202"/>
    </row>
    <row r="8" spans="1:24" s="19" customFormat="1" ht="11.5" customHeight="1">
      <c r="A8" s="16"/>
      <c r="B8" s="473">
        <f>HAW!B5</f>
        <v>0</v>
      </c>
      <c r="F8" s="18"/>
      <c r="H8" s="203" t="s">
        <v>86</v>
      </c>
      <c r="I8" s="17"/>
      <c r="L8" s="29"/>
      <c r="M8" s="20"/>
      <c r="N8" s="21"/>
      <c r="O8" s="22"/>
      <c r="P8" s="52"/>
      <c r="Q8" s="329"/>
      <c r="R8" s="329"/>
      <c r="S8" s="329"/>
      <c r="U8" s="203"/>
      <c r="V8" s="1228"/>
      <c r="W8" s="1229"/>
      <c r="X8" s="1230"/>
    </row>
    <row r="9" spans="1:24" s="19" customFormat="1" ht="11.5" customHeight="1">
      <c r="A9" s="16"/>
      <c r="B9" s="346" t="s">
        <v>93</v>
      </c>
      <c r="C9" s="347"/>
      <c r="D9" s="347"/>
      <c r="E9" s="347"/>
      <c r="F9" s="18"/>
      <c r="H9" s="203" t="s">
        <v>159</v>
      </c>
      <c r="I9" s="17"/>
      <c r="L9" s="339"/>
      <c r="M9" s="30"/>
      <c r="N9" s="21"/>
      <c r="O9" s="22"/>
      <c r="P9" s="52"/>
      <c r="Q9" s="329"/>
      <c r="R9" s="329"/>
      <c r="S9" s="329"/>
      <c r="U9" s="203"/>
      <c r="V9" s="1228"/>
      <c r="W9" s="1229"/>
      <c r="X9" s="1230"/>
    </row>
    <row r="10" spans="1:24" s="19" customFormat="1" ht="11.5" customHeight="1">
      <c r="A10" s="16"/>
      <c r="B10" s="346" t="s">
        <v>92</v>
      </c>
      <c r="C10" s="348"/>
      <c r="D10" s="348"/>
      <c r="E10" s="348"/>
      <c r="F10" s="18"/>
      <c r="H10" s="204" t="s">
        <v>19</v>
      </c>
      <c r="I10" s="17"/>
      <c r="L10" s="765">
        <f>IF(SUM($E$17:$E$18)&gt;0,$S$84,0)</f>
        <v>0</v>
      </c>
      <c r="M10" s="30">
        <f>IF($L$10&gt;0,'HAW-Kennwerte'!R12,0)</f>
        <v>0</v>
      </c>
      <c r="N10" s="205">
        <f>IF(L10&gt;0,E19,0)</f>
        <v>0</v>
      </c>
      <c r="O10" s="26">
        <f>IF(E84&gt;0.15,0,IFERROR((M10+M10*0.9*E84*0.4)/M10,0))</f>
        <v>0</v>
      </c>
      <c r="P10" s="27">
        <f>L10*N10*(M10*O10+IF(E86="ja",'HAW-Kennwerte'!$R$29,0))</f>
        <v>0</v>
      </c>
      <c r="Q10" s="329"/>
      <c r="R10" s="329"/>
      <c r="S10" s="329"/>
      <c r="U10" s="203"/>
      <c r="V10" s="1200"/>
      <c r="W10" s="1201"/>
      <c r="X10" s="1202"/>
    </row>
    <row r="11" spans="1:24" s="19" customFormat="1" ht="11.5" customHeight="1">
      <c r="A11" s="16"/>
      <c r="B11" s="56"/>
      <c r="C11" s="56"/>
      <c r="D11" s="56"/>
      <c r="E11" s="56"/>
      <c r="F11" s="18"/>
      <c r="H11" s="204" t="s">
        <v>91</v>
      </c>
      <c r="I11" s="17"/>
      <c r="L11" s="765">
        <f>IF(SUM($E$17:$E$18)&gt;0,SUM($E$17:$E$18),0)</f>
        <v>0</v>
      </c>
      <c r="M11" s="249">
        <f>IF($L$11&gt;0,'HAW-Kennwerte'!S12,0)</f>
        <v>0</v>
      </c>
      <c r="N11" s="205">
        <f>IF(L11&gt;0,E19,0)</f>
        <v>0</v>
      </c>
      <c r="O11" s="22"/>
      <c r="P11" s="31">
        <f>L11*M11*N11</f>
        <v>0</v>
      </c>
      <c r="Q11" s="329"/>
      <c r="R11" s="329"/>
      <c r="S11" s="329"/>
      <c r="U11" s="203"/>
      <c r="V11" s="1200"/>
      <c r="W11" s="1201"/>
      <c r="X11" s="1202"/>
    </row>
    <row r="12" spans="1:24" s="19" customFormat="1" ht="11.5" customHeight="1">
      <c r="A12" s="16"/>
      <c r="B12" s="24" t="s">
        <v>8</v>
      </c>
      <c r="F12" s="18"/>
      <c r="H12" s="204" t="s">
        <v>109</v>
      </c>
      <c r="I12" s="17"/>
      <c r="L12" s="766">
        <f>IF($E$17&gt;0,$E$17,0)</f>
        <v>0</v>
      </c>
      <c r="M12" s="30">
        <f>IF($L$12&gt;0,'HAW-Kennwerte'!U12,0)</f>
        <v>0</v>
      </c>
      <c r="N12" s="205">
        <f>IF(L12&gt;0,IF(E19=0,0,IF(E19&lt;0.7,0.7,E19)),0)</f>
        <v>0</v>
      </c>
      <c r="O12" s="26"/>
      <c r="P12" s="31">
        <f>L12*M12*N12</f>
        <v>0</v>
      </c>
      <c r="Q12" s="329">
        <f>IF(P12&gt;0,'HAW-Kennwerte'!AA12,0)</f>
        <v>0</v>
      </c>
      <c r="R12" s="329"/>
      <c r="S12" s="329"/>
      <c r="U12" s="203"/>
      <c r="V12" s="1200"/>
      <c r="W12" s="1201"/>
      <c r="X12" s="1202"/>
    </row>
    <row r="13" spans="1:24" s="19" customFormat="1" ht="11.5" customHeight="1">
      <c r="A13" s="16"/>
      <c r="B13" s="56" t="s">
        <v>4</v>
      </c>
      <c r="F13" s="18"/>
      <c r="H13" s="204" t="s">
        <v>110</v>
      </c>
      <c r="I13" s="17"/>
      <c r="L13" s="766">
        <f>IF($E$18&gt;0,$E$18,0)</f>
        <v>0</v>
      </c>
      <c r="M13" s="30">
        <f>IF(L13&gt;0,'HAW-Kennwerte'!X12,0)</f>
        <v>0</v>
      </c>
      <c r="N13" s="205">
        <f>IF(L13&gt;0,IF(E19=0,0,IF(E19&lt;0.7,0.7,E19)),0)</f>
        <v>0</v>
      </c>
      <c r="O13" s="22"/>
      <c r="P13" s="31">
        <f>L13*M13*N13</f>
        <v>0</v>
      </c>
      <c r="Q13" s="329">
        <f>IF(P13&gt;0,'HAW-Kennwerte'!AA12,0)</f>
        <v>0</v>
      </c>
      <c r="R13" s="329"/>
      <c r="S13" s="329"/>
      <c r="U13" s="203"/>
      <c r="V13" s="1200"/>
      <c r="W13" s="1201"/>
      <c r="X13" s="1202"/>
    </row>
    <row r="14" spans="1:24" s="19" customFormat="1" ht="11.5" customHeight="1">
      <c r="A14" s="16"/>
      <c r="C14" s="56"/>
      <c r="F14" s="18"/>
      <c r="H14" s="203" t="s">
        <v>20</v>
      </c>
      <c r="I14" s="17"/>
      <c r="K14" s="112"/>
      <c r="L14" s="32"/>
      <c r="M14" s="17"/>
      <c r="N14" s="32"/>
      <c r="O14" s="33"/>
      <c r="P14" s="34">
        <f>SUMPRODUCT(P6:P13,Q6:Q13)</f>
        <v>0</v>
      </c>
      <c r="Q14" s="330"/>
      <c r="R14" s="330"/>
      <c r="S14" s="330"/>
      <c r="U14" s="203"/>
      <c r="V14" s="1200"/>
      <c r="W14" s="1201"/>
      <c r="X14" s="1202"/>
    </row>
    <row r="15" spans="1:24" s="19" customFormat="1" ht="10.5">
      <c r="A15" s="16"/>
      <c r="B15" s="17"/>
      <c r="C15" s="17"/>
      <c r="D15" s="246" t="s">
        <v>73</v>
      </c>
      <c r="E15" s="349"/>
      <c r="F15" s="18"/>
      <c r="H15" s="17"/>
      <c r="I15" s="17"/>
      <c r="K15" s="35"/>
      <c r="L15" s="36"/>
      <c r="M15" s="17"/>
      <c r="N15" s="35"/>
      <c r="O15" s="35"/>
      <c r="P15" s="38">
        <f>SUM(P6:P14)</f>
        <v>0</v>
      </c>
      <c r="Q15" s="330"/>
      <c r="R15" s="330"/>
      <c r="S15" s="330"/>
      <c r="U15" s="203"/>
      <c r="V15" s="1228"/>
      <c r="W15" s="1229"/>
      <c r="X15" s="1230"/>
    </row>
    <row r="16" spans="1:24" s="19" customFormat="1" ht="11.25" customHeight="1">
      <c r="A16" s="16"/>
      <c r="B16" s="17"/>
      <c r="D16" s="223" t="s">
        <v>75</v>
      </c>
      <c r="E16" s="349"/>
      <c r="F16" s="18"/>
      <c r="H16" s="17"/>
      <c r="I16" s="17"/>
      <c r="K16" s="35"/>
      <c r="L16" s="36"/>
      <c r="M16" s="17"/>
      <c r="N16" s="35"/>
      <c r="O16" s="35"/>
      <c r="Q16" s="330"/>
      <c r="R16" s="330"/>
      <c r="S16" s="330"/>
      <c r="U16" s="203"/>
      <c r="V16" s="1228"/>
      <c r="W16" s="1229"/>
      <c r="X16" s="1230"/>
    </row>
    <row r="17" spans="1:24" s="19" customFormat="1">
      <c r="A17" s="16"/>
      <c r="B17" s="17"/>
      <c r="C17" s="17"/>
      <c r="D17" s="223" t="s">
        <v>185</v>
      </c>
      <c r="E17" s="764">
        <f>L84</f>
        <v>0</v>
      </c>
      <c r="F17" s="18"/>
      <c r="H17" s="24" t="s">
        <v>12</v>
      </c>
      <c r="I17" s="17"/>
      <c r="K17" s="35"/>
      <c r="L17" s="36"/>
      <c r="M17" s="17"/>
      <c r="N17" s="35"/>
      <c r="O17" s="35"/>
      <c r="P17" s="37"/>
      <c r="Q17" s="330"/>
      <c r="R17" s="330"/>
      <c r="S17" s="330"/>
      <c r="U17" s="203"/>
      <c r="V17" s="1228"/>
      <c r="W17" s="1229"/>
      <c r="X17" s="1230"/>
    </row>
    <row r="18" spans="1:24" s="19" customFormat="1" ht="11.5" customHeight="1">
      <c r="A18" s="16"/>
      <c r="B18" s="17"/>
      <c r="C18" s="17"/>
      <c r="D18" s="223" t="s">
        <v>186</v>
      </c>
      <c r="E18" s="764">
        <f>Q84</f>
        <v>0</v>
      </c>
      <c r="F18" s="18"/>
      <c r="H18" s="203" t="s">
        <v>0</v>
      </c>
      <c r="I18" s="17"/>
      <c r="L18" s="39">
        <f>E20/100</f>
        <v>0</v>
      </c>
      <c r="M18" s="30">
        <f>IF(N46=0,IF(E20&gt;0,'HAW-Kennwerte'!F12,0),'HAW-Kennwerte'!E12*81600/N46)</f>
        <v>0</v>
      </c>
      <c r="N18" s="205">
        <f>IF(L18&gt;0,IF(E21="ja",'HAW-Kennwerte'!G12,1),0)</f>
        <v>0</v>
      </c>
      <c r="O18" s="205"/>
      <c r="P18" s="23">
        <f>L18*M18*N18</f>
        <v>0</v>
      </c>
      <c r="Q18" s="328">
        <f>IF(P18&gt;0,Q6,0)</f>
        <v>0</v>
      </c>
      <c r="R18" s="328"/>
      <c r="S18" s="328"/>
      <c r="U18" s="203"/>
      <c r="V18" s="1200"/>
      <c r="W18" s="1201"/>
      <c r="X18" s="1202"/>
    </row>
    <row r="19" spans="1:24" s="19" customFormat="1" ht="11.5" customHeight="1">
      <c r="A19" s="16"/>
      <c r="B19" s="17"/>
      <c r="C19" s="17"/>
      <c r="D19" s="53" t="s">
        <v>27</v>
      </c>
      <c r="E19" s="688">
        <f>S88</f>
        <v>0</v>
      </c>
      <c r="F19" s="18"/>
      <c r="H19" s="203" t="s">
        <v>1</v>
      </c>
      <c r="I19" s="17"/>
      <c r="L19" s="39"/>
      <c r="M19" s="30"/>
      <c r="N19" s="25"/>
      <c r="O19" s="25"/>
      <c r="P19" s="52"/>
      <c r="Q19" s="329"/>
      <c r="R19" s="329"/>
      <c r="S19" s="329"/>
      <c r="U19" s="203"/>
      <c r="V19" s="1200"/>
      <c r="W19" s="1201"/>
      <c r="X19" s="1202"/>
    </row>
    <row r="20" spans="1:24" s="19" customFormat="1" ht="11.5" customHeight="1">
      <c r="A20" s="16"/>
      <c r="B20" s="17"/>
      <c r="C20" s="17"/>
      <c r="D20" s="53" t="s">
        <v>28</v>
      </c>
      <c r="E20" s="55">
        <f>H47</f>
        <v>0</v>
      </c>
      <c r="F20" s="18"/>
      <c r="H20" s="203" t="s">
        <v>159</v>
      </c>
      <c r="I20" s="17"/>
      <c r="L20" s="39"/>
      <c r="M20" s="30"/>
      <c r="N20" s="21"/>
      <c r="O20" s="25"/>
      <c r="P20" s="52"/>
      <c r="Q20" s="329"/>
      <c r="R20" s="329"/>
      <c r="S20" s="329"/>
      <c r="U20" s="203"/>
      <c r="V20" s="1228"/>
      <c r="W20" s="1229"/>
      <c r="X20" s="1230"/>
    </row>
    <row r="21" spans="1:24" s="19" customFormat="1" ht="11.5" customHeight="1">
      <c r="A21" s="16"/>
      <c r="B21" s="17"/>
      <c r="C21" s="17"/>
      <c r="D21" s="223" t="s">
        <v>247</v>
      </c>
      <c r="E21" s="793" t="s">
        <v>248</v>
      </c>
      <c r="F21" s="18"/>
      <c r="H21" s="203" t="s">
        <v>20</v>
      </c>
      <c r="I21" s="17"/>
      <c r="P21" s="34">
        <f>SUMPRODUCT(P18:P20,Q18:Q20)</f>
        <v>0</v>
      </c>
      <c r="Q21" s="329"/>
      <c r="R21" s="329"/>
      <c r="S21" s="329"/>
      <c r="U21" s="203"/>
      <c r="V21" s="1200"/>
      <c r="W21" s="1201"/>
      <c r="X21" s="1202"/>
    </row>
    <row r="22" spans="1:24" s="19" customFormat="1" ht="11.5" customHeight="1">
      <c r="A22" s="16"/>
      <c r="B22" s="17"/>
      <c r="C22" s="2"/>
      <c r="F22" s="18"/>
      <c r="I22" s="17"/>
      <c r="K22" s="17"/>
      <c r="L22" s="213"/>
      <c r="M22" s="17"/>
      <c r="N22" s="112"/>
      <c r="O22" s="212"/>
      <c r="P22" s="38">
        <f>SUM(P18:P21)</f>
        <v>0</v>
      </c>
      <c r="Q22" s="28"/>
      <c r="R22" s="28"/>
      <c r="S22" s="28"/>
      <c r="U22" s="203"/>
      <c r="V22" s="1228"/>
      <c r="W22" s="1229"/>
      <c r="X22" s="1230"/>
    </row>
    <row r="23" spans="1:24" s="19" customFormat="1" ht="11.5" customHeight="1">
      <c r="A23" s="16"/>
      <c r="B23" s="17"/>
      <c r="C23" s="17"/>
      <c r="D23" s="223" t="s">
        <v>844</v>
      </c>
      <c r="E23" s="349">
        <f>P103</f>
        <v>0</v>
      </c>
      <c r="F23" s="18"/>
      <c r="I23" s="17"/>
      <c r="J23" s="112"/>
      <c r="K23" s="17"/>
      <c r="L23" s="44"/>
      <c r="M23" s="17"/>
      <c r="N23" s="112"/>
      <c r="O23" s="212"/>
      <c r="R23" s="40"/>
      <c r="S23" s="40"/>
      <c r="U23" s="203"/>
      <c r="V23" s="1228"/>
      <c r="W23" s="1229"/>
      <c r="X23" s="1230"/>
    </row>
    <row r="24" spans="1:24" ht="12.65" customHeight="1">
      <c r="A24" s="13"/>
      <c r="B24" s="2"/>
      <c r="C24" s="17"/>
      <c r="D24" s="223"/>
      <c r="E24" s="51"/>
      <c r="F24" s="14"/>
      <c r="I24" s="24" t="s">
        <v>15</v>
      </c>
      <c r="K24" s="17"/>
      <c r="L24" s="41"/>
      <c r="M24" s="2"/>
      <c r="P24" s="43"/>
      <c r="Q24" s="1185" t="s">
        <v>789</v>
      </c>
      <c r="R24" s="12"/>
      <c r="S24" s="12"/>
      <c r="V24" s="1231"/>
      <c r="W24" s="1232"/>
      <c r="X24" s="1174"/>
    </row>
    <row r="25" spans="1:24" ht="11.15" customHeight="1">
      <c r="A25" s="13"/>
      <c r="B25" s="2"/>
      <c r="D25" s="53"/>
      <c r="E25" s="51"/>
      <c r="F25" s="14"/>
      <c r="I25" s="1167" t="s">
        <v>293</v>
      </c>
      <c r="J25" s="359"/>
      <c r="K25" s="359"/>
      <c r="L25" s="360"/>
      <c r="M25" s="361"/>
      <c r="N25" s="362"/>
      <c r="P25" s="351"/>
      <c r="Q25" s="718"/>
      <c r="R25" s="788"/>
      <c r="S25" s="788"/>
      <c r="V25" s="1231"/>
      <c r="W25" s="1232"/>
      <c r="X25" s="1174"/>
    </row>
    <row r="26" spans="1:24">
      <c r="A26" s="13"/>
      <c r="B26" s="2"/>
      <c r="C26" s="2"/>
      <c r="D26" s="2"/>
      <c r="E26" s="2"/>
      <c r="F26" s="14"/>
      <c r="I26" s="1168"/>
      <c r="J26" s="363"/>
      <c r="K26" s="363"/>
      <c r="L26" s="364"/>
      <c r="M26" s="363"/>
      <c r="N26" s="365"/>
      <c r="P26" s="352"/>
      <c r="Q26" s="718"/>
      <c r="R26" s="788"/>
      <c r="S26" s="788"/>
      <c r="V26" s="1231"/>
      <c r="W26" s="1232"/>
      <c r="X26" s="1174"/>
    </row>
    <row r="27" spans="1:24" s="19" customFormat="1" ht="11.5" customHeight="1">
      <c r="A27" s="16"/>
      <c r="B27" s="17"/>
      <c r="C27" s="53" t="s">
        <v>29</v>
      </c>
      <c r="D27" s="1360">
        <f>HAW!D24</f>
        <v>0</v>
      </c>
      <c r="E27" s="1361"/>
      <c r="F27" s="18"/>
      <c r="I27" s="1168"/>
      <c r="J27" s="366"/>
      <c r="K27" s="366"/>
      <c r="L27" s="366"/>
      <c r="M27" s="366"/>
      <c r="N27" s="367"/>
      <c r="O27" s="35"/>
      <c r="P27" s="352"/>
      <c r="Q27" s="719"/>
      <c r="R27" s="789"/>
      <c r="S27" s="789"/>
      <c r="U27" s="203"/>
      <c r="V27" s="1228"/>
      <c r="W27" s="1229"/>
      <c r="X27" s="1230"/>
    </row>
    <row r="28" spans="1:24" s="19" customFormat="1" ht="11.5" customHeight="1">
      <c r="A28" s="16"/>
      <c r="B28" s="17"/>
      <c r="C28" s="53" t="s">
        <v>30</v>
      </c>
      <c r="D28" s="1362">
        <f>HAW!D25</f>
        <v>0</v>
      </c>
      <c r="E28" s="1363"/>
      <c r="F28" s="18"/>
      <c r="I28" s="1168"/>
      <c r="J28" s="366"/>
      <c r="K28" s="366"/>
      <c r="L28" s="366"/>
      <c r="M28" s="366"/>
      <c r="N28" s="366"/>
      <c r="P28" s="352"/>
      <c r="Q28" s="719"/>
      <c r="R28" s="789"/>
      <c r="S28" s="789"/>
      <c r="U28" s="203"/>
      <c r="V28" s="1228"/>
      <c r="W28" s="1229"/>
      <c r="X28" s="1230"/>
    </row>
    <row r="29" spans="1:24" s="19" customFormat="1" ht="11.5" customHeight="1">
      <c r="A29" s="102"/>
      <c r="B29" s="103"/>
      <c r="C29" s="103"/>
      <c r="D29" s="103"/>
      <c r="E29" s="103"/>
      <c r="F29" s="104"/>
      <c r="I29" s="1168"/>
      <c r="J29" s="366"/>
      <c r="K29" s="366"/>
      <c r="L29" s="366"/>
      <c r="M29" s="366"/>
      <c r="N29" s="366"/>
      <c r="P29" s="353"/>
      <c r="Q29" s="719"/>
      <c r="R29" s="789"/>
      <c r="S29" s="789"/>
      <c r="U29" s="203"/>
      <c r="V29" s="1228"/>
      <c r="W29" s="1229"/>
      <c r="X29" s="1230"/>
    </row>
    <row r="30" spans="1:24" s="19" customFormat="1" ht="11.25" customHeight="1">
      <c r="A30" s="17"/>
      <c r="I30" s="17"/>
      <c r="P30" s="38">
        <f>SUM(P25:P29)</f>
        <v>0</v>
      </c>
      <c r="Q30" s="40"/>
      <c r="R30" s="40"/>
      <c r="S30" s="40"/>
      <c r="U30" s="203"/>
      <c r="V30" s="1228"/>
      <c r="W30" s="1229"/>
      <c r="X30" s="1230"/>
    </row>
    <row r="31" spans="1:24" ht="11.25" customHeight="1">
      <c r="A31" s="2"/>
      <c r="B31" s="2"/>
      <c r="C31" s="2"/>
      <c r="H31" s="106"/>
      <c r="I31" s="224"/>
      <c r="J31" s="225"/>
      <c r="K31" s="224"/>
      <c r="L31" s="226"/>
      <c r="M31" s="225"/>
      <c r="N31" s="107"/>
      <c r="O31" s="107"/>
      <c r="P31" s="227"/>
      <c r="Q31" s="50"/>
      <c r="R31" s="50"/>
      <c r="S31" s="50"/>
      <c r="V31" s="1231"/>
      <c r="W31" s="1232"/>
      <c r="X31" s="1174"/>
    </row>
    <row r="32" spans="1:24" ht="11.25" customHeight="1">
      <c r="A32" s="2"/>
      <c r="B32" s="2"/>
      <c r="C32" s="2"/>
      <c r="I32" s="47"/>
      <c r="J32" s="24"/>
      <c r="K32" s="47"/>
      <c r="L32" s="48"/>
      <c r="M32" s="24"/>
      <c r="N32" s="49"/>
      <c r="O32" s="49"/>
      <c r="P32" s="50"/>
      <c r="Q32" s="50"/>
      <c r="R32" s="50"/>
      <c r="S32" s="50"/>
      <c r="V32" s="1231"/>
      <c r="W32" s="1232"/>
      <c r="X32" s="1174"/>
    </row>
    <row r="33" spans="1:24" ht="50.15" customHeight="1" thickBot="1">
      <c r="A33" s="2"/>
      <c r="B33" s="2"/>
      <c r="C33" s="2"/>
      <c r="D33" s="2"/>
      <c r="F33" s="219" t="s">
        <v>16</v>
      </c>
      <c r="G33" s="2"/>
      <c r="H33" s="220" t="s">
        <v>0</v>
      </c>
      <c r="I33" s="220" t="s">
        <v>1</v>
      </c>
      <c r="J33" s="221" t="s">
        <v>197</v>
      </c>
      <c r="K33" s="221" t="s">
        <v>159</v>
      </c>
      <c r="L33" s="221" t="s">
        <v>198</v>
      </c>
      <c r="M33" s="221" t="s">
        <v>22</v>
      </c>
      <c r="N33" s="220" t="s">
        <v>20</v>
      </c>
      <c r="O33" s="221" t="s">
        <v>199</v>
      </c>
      <c r="T33" s="77"/>
      <c r="V33" s="1231"/>
      <c r="W33" s="1232"/>
      <c r="X33" s="1174"/>
    </row>
    <row r="34" spans="1:24" ht="17.149999999999999" customHeight="1" thickBot="1">
      <c r="B34" s="2"/>
      <c r="C34" s="2"/>
      <c r="D34" s="2"/>
      <c r="G34" s="2"/>
      <c r="H34" s="222">
        <f>P6+P18+SUMIF(Q25:Q29,H33,P25:P29)</f>
        <v>0</v>
      </c>
      <c r="I34" s="222">
        <f>IFERROR(P7+P19+SUMIF(Q25:Q29,I33,P25:P29),"")</f>
        <v>0</v>
      </c>
      <c r="J34" s="422"/>
      <c r="K34" s="422"/>
      <c r="L34" s="222">
        <f>P10+P11+SUMIF(Q25:Q29,L33,P25:P29)</f>
        <v>0</v>
      </c>
      <c r="M34" s="222">
        <f>P12+P13+SUMIF(Q25:Q29,M33,P25:P29)</f>
        <v>0</v>
      </c>
      <c r="N34" s="222">
        <f>P14+P21+SUMIF(Q25:Q29,N33,P25:P29)</f>
        <v>0</v>
      </c>
      <c r="O34" s="222">
        <f>SUMIF(Q25:Q29,O33,P25:P29)</f>
        <v>0</v>
      </c>
      <c r="P34" s="331">
        <f>SUM(H34:O34)</f>
        <v>0</v>
      </c>
      <c r="Q34" s="101"/>
      <c r="R34" s="101"/>
      <c r="S34" s="101"/>
      <c r="T34" s="77"/>
      <c r="V34" s="1231"/>
      <c r="W34" s="1232"/>
      <c r="X34" s="1174"/>
    </row>
    <row r="35" spans="1:24">
      <c r="A35" s="106"/>
      <c r="B35" s="105"/>
      <c r="C35" s="46"/>
      <c r="D35" s="46"/>
      <c r="E35" s="46"/>
      <c r="F35" s="46"/>
      <c r="G35" s="106"/>
      <c r="H35" s="106"/>
      <c r="I35" s="106"/>
      <c r="J35" s="107"/>
      <c r="K35" s="106"/>
      <c r="L35" s="107"/>
      <c r="M35" s="106"/>
      <c r="N35" s="107"/>
      <c r="O35" s="107"/>
      <c r="P35" s="107"/>
      <c r="Q35" s="107"/>
      <c r="R35" s="49"/>
      <c r="S35" s="49"/>
      <c r="T35" s="77"/>
      <c r="V35" s="1231"/>
      <c r="W35" s="1232"/>
      <c r="X35" s="1174"/>
    </row>
    <row r="36" spans="1:24">
      <c r="S36" s="49"/>
      <c r="T36" s="77"/>
      <c r="V36" s="1231"/>
      <c r="W36" s="1232"/>
      <c r="X36" s="1174"/>
    </row>
    <row r="37" spans="1:24">
      <c r="A37" s="7"/>
      <c r="B37" s="8"/>
      <c r="C37" s="8"/>
      <c r="D37" s="8"/>
      <c r="E37" s="8"/>
      <c r="F37" s="8"/>
      <c r="G37" s="8"/>
      <c r="H37" s="8"/>
      <c r="I37" s="8"/>
      <c r="J37" s="8"/>
      <c r="K37" s="8"/>
      <c r="L37" s="8"/>
      <c r="M37" s="8"/>
      <c r="N37" s="108"/>
      <c r="O37" s="108"/>
      <c r="P37" s="109"/>
      <c r="S37" s="49"/>
      <c r="T37" s="77"/>
      <c r="V37" s="1231"/>
      <c r="W37" s="1232"/>
      <c r="X37" s="1174"/>
    </row>
    <row r="38" spans="1:24" ht="10.5">
      <c r="A38" s="13"/>
      <c r="E38" s="110" t="s">
        <v>70</v>
      </c>
      <c r="F38" s="2"/>
      <c r="G38" s="2"/>
      <c r="H38" s="2"/>
      <c r="I38" s="2"/>
      <c r="J38" s="2"/>
      <c r="K38" s="238" t="s">
        <v>69</v>
      </c>
      <c r="M38" s="2"/>
      <c r="N38" s="49"/>
      <c r="O38" s="49"/>
      <c r="P38" s="111"/>
      <c r="S38" s="49"/>
      <c r="T38" s="77"/>
      <c r="V38" s="1231"/>
      <c r="W38" s="1232"/>
      <c r="X38" s="1174"/>
    </row>
    <row r="39" spans="1:24" ht="2.5" customHeight="1">
      <c r="A39" s="13"/>
      <c r="E39" s="110"/>
      <c r="F39" s="2"/>
      <c r="G39" s="2"/>
      <c r="H39" s="46"/>
      <c r="I39" s="2"/>
      <c r="J39" s="2"/>
      <c r="K39" s="2"/>
      <c r="L39" s="2"/>
      <c r="M39" s="2"/>
      <c r="N39" s="49"/>
      <c r="O39" s="49"/>
      <c r="P39" s="111"/>
      <c r="S39" s="49"/>
      <c r="T39" s="77"/>
      <c r="V39" s="1231"/>
      <c r="W39" s="1232"/>
      <c r="X39" s="1174"/>
    </row>
    <row r="40" spans="1:24" ht="11.15" customHeight="1">
      <c r="A40" s="13"/>
      <c r="E40" s="207">
        <f>IF($E$44&gt;2023,$E$44-4,"")</f>
        <v>2021</v>
      </c>
      <c r="H40" s="354"/>
      <c r="I40" s="2" t="s">
        <v>25</v>
      </c>
      <c r="J40" s="2"/>
      <c r="K40" s="2"/>
      <c r="L40" s="49"/>
      <c r="M40" s="2"/>
      <c r="N40" s="49"/>
      <c r="O40" s="49"/>
      <c r="P40" s="111"/>
      <c r="S40" s="49"/>
      <c r="T40" s="77"/>
      <c r="V40" s="1231"/>
      <c r="W40" s="1232"/>
      <c r="X40" s="1174"/>
    </row>
    <row r="41" spans="1:24" ht="11.15" customHeight="1">
      <c r="A41" s="13"/>
      <c r="E41" s="207">
        <f>IF($E$44&gt;2023,$E$44-3,"")</f>
        <v>2022</v>
      </c>
      <c r="H41" s="354"/>
      <c r="I41" s="228" t="s">
        <v>25</v>
      </c>
      <c r="J41" s="2"/>
      <c r="K41" s="2"/>
      <c r="L41" s="49"/>
      <c r="M41" s="2"/>
      <c r="N41" s="49"/>
      <c r="O41" s="49"/>
      <c r="P41" s="111"/>
      <c r="S41" s="49"/>
      <c r="T41" s="77"/>
      <c r="V41" s="1231"/>
      <c r="W41" s="1232"/>
      <c r="X41" s="1174"/>
    </row>
    <row r="42" spans="1:24" ht="11.15" customHeight="1">
      <c r="A42" s="13"/>
      <c r="E42" s="207">
        <f>IF($E$44&gt;2023,$E$44-2,"")</f>
        <v>2023</v>
      </c>
      <c r="H42" s="354"/>
      <c r="I42" s="228" t="s">
        <v>25</v>
      </c>
      <c r="J42" s="2"/>
      <c r="K42" s="2"/>
      <c r="L42" s="49"/>
      <c r="M42" s="2"/>
      <c r="N42" s="49"/>
      <c r="O42" s="49"/>
      <c r="P42" s="111"/>
      <c r="S42" s="49"/>
      <c r="T42" s="77"/>
      <c r="V42" s="1231"/>
      <c r="W42" s="1232"/>
      <c r="X42" s="1174"/>
    </row>
    <row r="43" spans="1:24" ht="11.15" customHeight="1">
      <c r="A43" s="13"/>
      <c r="E43" s="207">
        <f>IF($E$44&gt;2023,$E$44-1,"")</f>
        <v>2024</v>
      </c>
      <c r="H43" s="354"/>
      <c r="I43" s="228" t="s">
        <v>25</v>
      </c>
      <c r="J43" s="2"/>
      <c r="M43" s="207" t="s">
        <v>56</v>
      </c>
      <c r="N43" s="247">
        <f>'HAW-Kennwerte'!E29</f>
        <v>81600</v>
      </c>
      <c r="O43" s="49"/>
      <c r="P43" s="111"/>
      <c r="S43" s="49"/>
      <c r="T43" s="77"/>
      <c r="V43" s="1231"/>
      <c r="W43" s="1232"/>
      <c r="X43" s="1174"/>
    </row>
    <row r="44" spans="1:24" ht="11.15" customHeight="1">
      <c r="A44" s="13"/>
      <c r="D44" s="236" t="s">
        <v>184</v>
      </c>
      <c r="E44" s="711">
        <v>2025</v>
      </c>
      <c r="H44" s="354"/>
      <c r="I44" s="228" t="s">
        <v>25</v>
      </c>
      <c r="J44" s="49"/>
      <c r="M44" s="207" t="s">
        <v>119</v>
      </c>
      <c r="N44" s="475"/>
      <c r="O44" s="49"/>
      <c r="P44" s="111"/>
      <c r="S44" s="49"/>
      <c r="T44" s="77"/>
      <c r="V44" s="1231"/>
      <c r="W44" s="1232"/>
      <c r="X44" s="1174"/>
    </row>
    <row r="45" spans="1:24" ht="2.5" customHeight="1">
      <c r="A45" s="13"/>
      <c r="E45" s="2"/>
      <c r="F45" s="2"/>
      <c r="H45" s="2"/>
      <c r="I45" s="2"/>
      <c r="J45" s="49"/>
      <c r="M45" s="2"/>
      <c r="N45" s="2"/>
      <c r="O45" s="49"/>
      <c r="P45" s="111"/>
      <c r="S45" s="49"/>
      <c r="T45" s="77"/>
      <c r="V45" s="1231"/>
      <c r="W45" s="1232"/>
      <c r="X45" s="1174"/>
    </row>
    <row r="46" spans="1:24">
      <c r="A46" s="13"/>
      <c r="E46" s="2"/>
      <c r="F46" s="2"/>
      <c r="G46" s="116" t="s">
        <v>33</v>
      </c>
      <c r="H46" s="354"/>
      <c r="I46" s="2"/>
      <c r="J46" s="49"/>
      <c r="M46" s="116" t="s">
        <v>33</v>
      </c>
      <c r="N46" s="354"/>
      <c r="O46" s="49"/>
      <c r="P46" s="111"/>
      <c r="S46" s="49"/>
      <c r="T46" s="77"/>
      <c r="V46" s="1231"/>
      <c r="W46" s="1232"/>
      <c r="X46" s="1174"/>
    </row>
    <row r="47" spans="1:24" ht="12" customHeight="1">
      <c r="A47" s="13"/>
      <c r="E47" s="2"/>
      <c r="F47" s="2"/>
      <c r="G47" s="2"/>
      <c r="H47" s="54">
        <f>IF(H46=0,(H44*1.02*5+H43*1.04*4+H42*1.06*3+H41*1.08*2+H40*1.1)/15,H46)</f>
        <v>0</v>
      </c>
      <c r="I47" s="2"/>
      <c r="J47" s="49"/>
      <c r="M47" s="2"/>
      <c r="N47" s="54">
        <f>IF(N46&gt;0,N46,'HAW-Kennwerte'!E31)</f>
        <v>81600</v>
      </c>
      <c r="O47" s="49"/>
      <c r="P47" s="111"/>
      <c r="S47" s="49"/>
      <c r="T47" s="77"/>
      <c r="V47" s="1200"/>
      <c r="W47" s="1201"/>
      <c r="X47" s="1202"/>
    </row>
    <row r="48" spans="1:24">
      <c r="A48" s="45"/>
      <c r="B48" s="46"/>
      <c r="C48" s="46"/>
      <c r="D48" s="46"/>
      <c r="E48" s="46"/>
      <c r="F48" s="46"/>
      <c r="G48" s="46"/>
      <c r="H48" s="46"/>
      <c r="I48" s="46"/>
      <c r="J48" s="119"/>
      <c r="K48" s="46"/>
      <c r="L48" s="119"/>
      <c r="M48" s="46"/>
      <c r="N48" s="119"/>
      <c r="O48" s="119"/>
      <c r="P48" s="120"/>
      <c r="S48" s="49"/>
      <c r="T48" s="77"/>
      <c r="V48" s="1231"/>
      <c r="W48" s="1232"/>
      <c r="X48" s="1174"/>
    </row>
    <row r="49" spans="1:24" ht="11.25" customHeight="1">
      <c r="B49" s="117" t="s">
        <v>34</v>
      </c>
      <c r="S49" s="49"/>
      <c r="T49" s="2"/>
      <c r="V49" s="1231"/>
      <c r="W49" s="1232"/>
      <c r="X49" s="1174"/>
    </row>
    <row r="50" spans="1:24">
      <c r="A50" s="2"/>
      <c r="B50" s="106"/>
      <c r="C50" s="209"/>
      <c r="D50" s="106"/>
      <c r="E50" s="106"/>
      <c r="F50" s="106"/>
      <c r="G50" s="106"/>
      <c r="H50" s="106"/>
      <c r="I50" s="106"/>
      <c r="J50" s="106"/>
      <c r="K50" s="107"/>
      <c r="L50" s="106"/>
      <c r="M50" s="107"/>
      <c r="N50" s="106"/>
      <c r="O50" s="107"/>
      <c r="P50" s="107"/>
      <c r="Q50" s="107"/>
      <c r="R50" s="49"/>
      <c r="S50" s="49"/>
      <c r="T50" s="49"/>
      <c r="V50" s="1231"/>
      <c r="W50" s="1232"/>
      <c r="X50" s="1174"/>
    </row>
    <row r="51" spans="1:24">
      <c r="A51" s="2"/>
      <c r="J51" s="1"/>
      <c r="K51" s="42"/>
      <c r="L51" s="1"/>
      <c r="M51" s="42"/>
      <c r="N51" s="1"/>
      <c r="Q51" s="201" t="str">
        <f>HAW!B28</f>
        <v>Kennwertverfahren NRW für HAW; HIS-Institut für Hochschulentwicklung e.V. (24.04.2026)</v>
      </c>
      <c r="R51" s="250"/>
      <c r="S51" s="2"/>
      <c r="T51" s="2"/>
      <c r="V51" s="1231"/>
      <c r="W51" s="1232"/>
      <c r="X51" s="1174"/>
    </row>
    <row r="52" spans="1:24">
      <c r="A52" s="2"/>
      <c r="T52" s="121"/>
      <c r="V52" s="1231"/>
      <c r="W52" s="1232"/>
      <c r="X52" s="1174"/>
    </row>
    <row r="53" spans="1:24">
      <c r="A53" s="2"/>
      <c r="T53" s="121"/>
      <c r="V53" s="1231"/>
      <c r="W53" s="1232"/>
      <c r="X53" s="1174"/>
    </row>
    <row r="54" spans="1:24" ht="10.5">
      <c r="A54" s="2"/>
      <c r="B54" s="368" t="str">
        <f>IF(B8=0,B7,CONCATENATE(B7,B8))</f>
        <v>Hochschule …</v>
      </c>
      <c r="C54" s="369"/>
      <c r="D54" s="369"/>
      <c r="E54" s="369"/>
      <c r="F54" s="369"/>
      <c r="G54" s="369"/>
      <c r="H54" s="369"/>
      <c r="I54" s="369"/>
      <c r="J54" s="370"/>
      <c r="K54" s="369"/>
      <c r="L54" s="370"/>
      <c r="M54" s="369"/>
      <c r="N54" s="370"/>
      <c r="O54" s="370"/>
      <c r="P54" s="370"/>
      <c r="Q54" s="370"/>
      <c r="R54" s="370"/>
      <c r="S54" s="370"/>
      <c r="T54" s="121"/>
      <c r="V54" s="1231"/>
      <c r="W54" s="1232"/>
      <c r="X54" s="1174"/>
    </row>
    <row r="55" spans="1:24">
      <c r="A55" s="2"/>
      <c r="B55" s="369" t="str">
        <f>B9</f>
        <v>[Fakultät/Fachbereich]</v>
      </c>
      <c r="C55" s="369"/>
      <c r="D55" s="369"/>
      <c r="E55" s="369"/>
      <c r="F55" s="369"/>
      <c r="G55" s="369"/>
      <c r="H55" s="369"/>
      <c r="I55" s="369"/>
      <c r="J55" s="370"/>
      <c r="K55" s="369"/>
      <c r="L55" s="370"/>
      <c r="M55" s="369"/>
      <c r="N55" s="370"/>
      <c r="O55" s="370"/>
      <c r="P55" s="370"/>
      <c r="Q55" s="370"/>
      <c r="R55" s="370"/>
      <c r="S55" s="370"/>
      <c r="T55" s="121"/>
      <c r="V55" s="1231"/>
      <c r="W55" s="1232"/>
      <c r="X55" s="1174"/>
    </row>
    <row r="56" spans="1:24">
      <c r="A56" s="2"/>
      <c r="B56" s="369" t="str">
        <f>B10</f>
        <v>[Department, Institut o.a.]</v>
      </c>
      <c r="C56" s="369"/>
      <c r="D56" s="369"/>
      <c r="E56" s="369"/>
      <c r="F56" s="369"/>
      <c r="G56" s="369"/>
      <c r="H56" s="369"/>
      <c r="I56" s="369"/>
      <c r="J56" s="370"/>
      <c r="K56" s="369"/>
      <c r="L56" s="370"/>
      <c r="M56" s="369"/>
      <c r="N56" s="370"/>
      <c r="O56" s="370"/>
      <c r="P56" s="370"/>
      <c r="Q56" s="370"/>
      <c r="R56" s="370"/>
      <c r="S56" s="370"/>
      <c r="T56" s="121"/>
      <c r="V56" s="1231"/>
      <c r="W56" s="1232"/>
      <c r="X56" s="1174"/>
    </row>
    <row r="57" spans="1:24">
      <c r="A57" s="2"/>
      <c r="B57" s="369" t="str">
        <f>CONCATENATE(B12,": ",B13)</f>
        <v>Lehr- und Forschungsbereich: Architektur</v>
      </c>
      <c r="C57" s="369"/>
      <c r="D57" s="369"/>
      <c r="E57" s="369"/>
      <c r="F57" s="369"/>
      <c r="G57" s="369"/>
      <c r="H57" s="369"/>
      <c r="I57" s="369"/>
      <c r="J57" s="370"/>
      <c r="K57" s="369"/>
      <c r="L57" s="370"/>
      <c r="M57" s="369"/>
      <c r="N57" s="370"/>
      <c r="O57" s="370"/>
      <c r="P57" s="370"/>
      <c r="Q57" s="370"/>
      <c r="R57" s="370"/>
      <c r="S57" s="370"/>
      <c r="T57" s="121"/>
      <c r="V57" s="1231"/>
      <c r="W57" s="1232"/>
      <c r="X57" s="1174"/>
    </row>
    <row r="58" spans="1:24">
      <c r="A58" s="2"/>
      <c r="T58" s="121"/>
      <c r="V58" s="1231"/>
      <c r="W58" s="1232"/>
      <c r="X58" s="1174"/>
    </row>
    <row r="59" spans="1:24">
      <c r="A59" s="2"/>
      <c r="B59" s="378" t="s">
        <v>95</v>
      </c>
      <c r="T59" s="121"/>
      <c r="V59" s="1231"/>
      <c r="W59" s="1232"/>
      <c r="X59" s="1174"/>
    </row>
    <row r="60" spans="1:24" s="202" customFormat="1" ht="2.25" customHeight="1">
      <c r="A60" s="110"/>
      <c r="B60" s="909"/>
      <c r="C60" s="910"/>
      <c r="D60" s="910"/>
      <c r="E60" s="910"/>
      <c r="F60" s="910"/>
      <c r="G60" s="910"/>
      <c r="H60" s="910"/>
      <c r="I60" s="910"/>
      <c r="J60" s="544"/>
      <c r="K60" s="910"/>
      <c r="L60" s="544"/>
      <c r="M60" s="910"/>
      <c r="N60" s="544"/>
      <c r="O60" s="544"/>
      <c r="P60" s="544"/>
      <c r="Q60" s="544"/>
      <c r="R60" s="544"/>
      <c r="S60" s="544"/>
      <c r="T60" s="320"/>
      <c r="V60" s="1231"/>
      <c r="W60" s="1232"/>
      <c r="X60" s="1174"/>
    </row>
    <row r="61" spans="1:24" s="202" customFormat="1" ht="10" customHeight="1">
      <c r="A61" s="206"/>
      <c r="B61" s="210"/>
      <c r="C61" s="206"/>
      <c r="D61" s="206"/>
      <c r="E61" s="206"/>
      <c r="F61" s="206"/>
      <c r="G61" s="206"/>
      <c r="H61" s="238"/>
      <c r="I61" s="238"/>
      <c r="J61" s="239"/>
      <c r="K61" s="238"/>
      <c r="L61" s="239"/>
      <c r="M61" s="238"/>
      <c r="N61" s="239"/>
      <c r="O61" s="239"/>
      <c r="P61" s="239"/>
      <c r="Q61" s="208"/>
      <c r="R61" s="208"/>
      <c r="S61" s="1166" t="s">
        <v>60</v>
      </c>
      <c r="T61" s="321"/>
      <c r="V61" s="1231"/>
      <c r="W61" s="1232"/>
      <c r="X61" s="1174"/>
    </row>
    <row r="62" spans="1:24" s="202" customFormat="1" ht="10" customHeight="1">
      <c r="A62" s="206"/>
      <c r="B62" s="210"/>
      <c r="C62" s="206"/>
      <c r="E62" s="206"/>
      <c r="F62" s="206"/>
      <c r="G62" s="206"/>
      <c r="H62" s="240" t="s">
        <v>60</v>
      </c>
      <c r="I62" s="241"/>
      <c r="J62" s="241"/>
      <c r="K62" s="240"/>
      <c r="L62" s="240"/>
      <c r="M62" s="243" t="s">
        <v>61</v>
      </c>
      <c r="N62" s="241"/>
      <c r="O62" s="240"/>
      <c r="P62" s="240"/>
      <c r="Q62" s="240"/>
      <c r="R62" s="240"/>
      <c r="S62" s="1189" t="s">
        <v>857</v>
      </c>
      <c r="T62" s="321"/>
      <c r="V62" s="1231"/>
      <c r="W62" s="1232"/>
      <c r="X62" s="1174"/>
    </row>
    <row r="63" spans="1:24" ht="10.4" customHeight="1">
      <c r="A63" s="2"/>
      <c r="B63" s="235"/>
      <c r="C63" s="204"/>
      <c r="F63" s="2"/>
      <c r="G63" s="2"/>
      <c r="H63" s="49"/>
      <c r="I63" s="2"/>
      <c r="J63" s="2"/>
      <c r="K63" s="49"/>
      <c r="L63" s="1"/>
      <c r="M63" s="244"/>
      <c r="N63" s="2"/>
      <c r="O63" s="49"/>
      <c r="P63" s="1"/>
      <c r="Q63" s="49"/>
      <c r="R63" s="49"/>
      <c r="S63" s="234"/>
      <c r="T63" s="321"/>
      <c r="V63" s="1231"/>
      <c r="W63" s="1232"/>
      <c r="X63" s="1174"/>
    </row>
    <row r="64" spans="1:24" ht="10.5">
      <c r="A64" s="2"/>
      <c r="B64" s="235"/>
      <c r="C64" s="204"/>
      <c r="E64" s="237" t="s">
        <v>66</v>
      </c>
      <c r="F64" s="2"/>
      <c r="G64" s="2"/>
      <c r="H64" s="202" t="s">
        <v>67</v>
      </c>
      <c r="I64" s="2"/>
      <c r="J64" s="2"/>
      <c r="K64" s="49"/>
      <c r="L64" s="1"/>
      <c r="M64" s="245" t="s">
        <v>67</v>
      </c>
      <c r="N64" s="2"/>
      <c r="O64" s="49"/>
      <c r="P64" s="1"/>
      <c r="T64" s="321"/>
      <c r="V64" s="1231"/>
      <c r="W64" s="1232"/>
      <c r="X64" s="1174"/>
    </row>
    <row r="65" spans="1:24" ht="12" customHeight="1">
      <c r="A65" s="2"/>
      <c r="B65" s="210"/>
      <c r="C65" s="206"/>
      <c r="D65" s="236" t="s">
        <v>65</v>
      </c>
      <c r="E65" s="355"/>
      <c r="F65" s="2"/>
      <c r="G65" s="2"/>
      <c r="H65" s="325">
        <f>SUM(H70:H81)</f>
        <v>0</v>
      </c>
      <c r="I65" s="326"/>
      <c r="J65" s="2"/>
      <c r="K65" s="49"/>
      <c r="L65" s="1"/>
      <c r="M65" s="1191">
        <f>SUM(M70:M81)</f>
        <v>0</v>
      </c>
      <c r="N65" s="326"/>
      <c r="O65" s="49"/>
      <c r="P65" s="1"/>
      <c r="S65" s="323">
        <f>H65+M65</f>
        <v>0</v>
      </c>
      <c r="T65" s="321"/>
      <c r="V65" s="1231"/>
      <c r="W65" s="1232"/>
      <c r="X65" s="1174"/>
    </row>
    <row r="66" spans="1:24" ht="12" customHeight="1">
      <c r="A66" s="2"/>
      <c r="B66" s="210"/>
      <c r="C66" s="206"/>
      <c r="D66" s="236" t="s">
        <v>74</v>
      </c>
      <c r="E66" s="356"/>
      <c r="F66" s="2"/>
      <c r="G66" s="2"/>
      <c r="H66" s="338">
        <f>H65*SUM(E65,E66)</f>
        <v>0</v>
      </c>
      <c r="I66" s="327" t="str">
        <f>IF(H66&gt;0,"SWS","")</f>
        <v/>
      </c>
      <c r="J66" s="2"/>
      <c r="K66" s="49"/>
      <c r="L66" s="1"/>
      <c r="M66" s="1192">
        <f>M65*SUM(E65,E66)</f>
        <v>0</v>
      </c>
      <c r="N66" s="327" t="str">
        <f>IF(M66&gt;0,"SWS","")</f>
        <v/>
      </c>
      <c r="O66" s="49"/>
      <c r="P66" s="1"/>
      <c r="S66" s="55">
        <f>SUM(H66,M66)</f>
        <v>0</v>
      </c>
      <c r="T66" s="321"/>
      <c r="V66" s="1231"/>
      <c r="W66" s="1232"/>
      <c r="X66" s="1174"/>
    </row>
    <row r="67" spans="1:24" ht="10.5">
      <c r="A67" s="2"/>
      <c r="B67" s="13"/>
      <c r="C67" s="2"/>
      <c r="D67" s="2"/>
      <c r="E67" s="324">
        <f>SUM(E65:E66)</f>
        <v>0</v>
      </c>
      <c r="F67" s="2"/>
      <c r="G67" s="2"/>
      <c r="H67" s="2"/>
      <c r="I67" s="2"/>
      <c r="J67" s="2"/>
      <c r="K67" s="49"/>
      <c r="L67" s="1"/>
      <c r="M67" s="244"/>
      <c r="N67" s="2"/>
      <c r="O67" s="49"/>
      <c r="P67" s="49"/>
      <c r="Q67" s="49"/>
      <c r="R67" s="49"/>
      <c r="S67" s="49"/>
      <c r="T67" s="321"/>
      <c r="V67" s="1231"/>
      <c r="W67" s="1232"/>
      <c r="X67" s="1174"/>
    </row>
    <row r="68" spans="1:24">
      <c r="A68" s="2"/>
      <c r="B68" s="13"/>
      <c r="C68" s="2"/>
      <c r="D68" s="2"/>
      <c r="F68" s="2"/>
      <c r="G68" s="2"/>
      <c r="H68" s="2"/>
      <c r="I68" s="2"/>
      <c r="J68" s="2"/>
      <c r="K68" s="113" t="s">
        <v>97</v>
      </c>
      <c r="L68" s="1"/>
      <c r="M68" s="244"/>
      <c r="N68" s="2"/>
      <c r="O68" s="49"/>
      <c r="P68" s="113" t="s">
        <v>97</v>
      </c>
      <c r="Q68" s="49"/>
      <c r="R68" s="49"/>
      <c r="S68" s="49"/>
      <c r="T68" s="321"/>
      <c r="V68" s="1231"/>
      <c r="W68" s="1232"/>
      <c r="X68" s="1174"/>
    </row>
    <row r="69" spans="1:24" ht="13.4" customHeight="1">
      <c r="A69" s="2"/>
      <c r="B69" s="13"/>
      <c r="C69" s="2"/>
      <c r="D69" s="2"/>
      <c r="E69" s="114"/>
      <c r="F69" s="2"/>
      <c r="G69" s="2"/>
      <c r="H69" s="113" t="s">
        <v>83</v>
      </c>
      <c r="I69" s="113" t="s">
        <v>31</v>
      </c>
      <c r="J69" s="113" t="s">
        <v>32</v>
      </c>
      <c r="K69" s="113" t="s">
        <v>96</v>
      </c>
      <c r="L69" s="113" t="s">
        <v>94</v>
      </c>
      <c r="M69" s="319" t="s">
        <v>83</v>
      </c>
      <c r="N69" s="113" t="s">
        <v>31</v>
      </c>
      <c r="O69" s="113" t="s">
        <v>32</v>
      </c>
      <c r="P69" s="113" t="s">
        <v>96</v>
      </c>
      <c r="Q69" s="113" t="s">
        <v>94</v>
      </c>
      <c r="R69" s="113"/>
      <c r="S69" s="49"/>
      <c r="T69" s="321"/>
      <c r="V69" s="1231"/>
      <c r="W69" s="1232"/>
      <c r="X69" s="1174"/>
    </row>
    <row r="70" spans="1:24" ht="11.15" customHeight="1">
      <c r="A70" s="2"/>
      <c r="B70" s="13"/>
      <c r="C70" s="2"/>
      <c r="D70" s="725"/>
      <c r="E70" s="725"/>
      <c r="F70" s="731" t="s">
        <v>201</v>
      </c>
      <c r="G70" s="2"/>
      <c r="H70" s="371"/>
      <c r="I70" s="372"/>
      <c r="J70" s="373"/>
      <c r="K70" s="374"/>
      <c r="L70" s="337">
        <f>IFERROR($E$67*H70*I70/J70*K70,0)</f>
        <v>0</v>
      </c>
      <c r="M70" s="376"/>
      <c r="N70" s="372"/>
      <c r="O70" s="373"/>
      <c r="P70" s="374"/>
      <c r="Q70" s="115">
        <f>IFERROR($E$67*M70*N70/O70*P70,0)</f>
        <v>0</v>
      </c>
      <c r="R70" s="342"/>
      <c r="S70" s="49"/>
      <c r="T70" s="321"/>
      <c r="V70" s="1200"/>
      <c r="W70" s="1201"/>
      <c r="X70" s="1202"/>
    </row>
    <row r="71" spans="1:24" ht="11.15" customHeight="1">
      <c r="B71" s="13"/>
      <c r="C71" s="2"/>
      <c r="D71" s="726"/>
      <c r="E71" s="726"/>
      <c r="F71" s="732" t="s">
        <v>202</v>
      </c>
      <c r="G71" s="2"/>
      <c r="H71" s="375"/>
      <c r="I71" s="372"/>
      <c r="J71" s="373"/>
      <c r="K71" s="374"/>
      <c r="L71" s="337">
        <f>IFERROR($E$67*H71*I71/J71*K71,0)</f>
        <v>0</v>
      </c>
      <c r="M71" s="377"/>
      <c r="N71" s="372"/>
      <c r="O71" s="373"/>
      <c r="P71" s="374"/>
      <c r="Q71" s="115">
        <f t="shared" ref="Q71:Q81" si="0">IFERROR($E$67*M71*N71/O71*P71,0)</f>
        <v>0</v>
      </c>
      <c r="R71" s="342"/>
      <c r="S71" s="49"/>
      <c r="T71" s="321"/>
      <c r="V71" s="1200"/>
      <c r="W71" s="1201"/>
      <c r="X71" s="1202"/>
    </row>
    <row r="72" spans="1:24" ht="11.5" customHeight="1">
      <c r="B72" s="13"/>
      <c r="C72" s="2"/>
      <c r="D72" s="726"/>
      <c r="E72" s="726"/>
      <c r="F72" s="732" t="s">
        <v>203</v>
      </c>
      <c r="G72" s="2"/>
      <c r="H72" s="375"/>
      <c r="I72" s="372"/>
      <c r="J72" s="373"/>
      <c r="K72" s="374"/>
      <c r="L72" s="337">
        <f>IFERROR($E$67*H72*I72/J72*K72,0)</f>
        <v>0</v>
      </c>
      <c r="M72" s="377"/>
      <c r="N72" s="372"/>
      <c r="O72" s="373"/>
      <c r="P72" s="374"/>
      <c r="Q72" s="115">
        <f t="shared" si="0"/>
        <v>0</v>
      </c>
      <c r="R72" s="342"/>
      <c r="S72" s="49"/>
      <c r="T72" s="321"/>
      <c r="V72" s="1200"/>
      <c r="W72" s="1201"/>
      <c r="X72" s="1202"/>
    </row>
    <row r="73" spans="1:24">
      <c r="B73" s="13"/>
      <c r="C73" s="2"/>
      <c r="D73" s="726"/>
      <c r="E73" s="726"/>
      <c r="F73" s="732"/>
      <c r="G73" s="2"/>
      <c r="H73" s="375"/>
      <c r="I73" s="372"/>
      <c r="J73" s="373"/>
      <c r="K73" s="374"/>
      <c r="L73" s="337">
        <f t="shared" ref="L73:L81" si="1">IFERROR($E$67*H73*I73/J73*K73,0)</f>
        <v>0</v>
      </c>
      <c r="M73" s="377"/>
      <c r="N73" s="372"/>
      <c r="O73" s="373"/>
      <c r="P73" s="374"/>
      <c r="Q73" s="115">
        <f t="shared" si="0"/>
        <v>0</v>
      </c>
      <c r="R73" s="342"/>
      <c r="S73" s="49"/>
      <c r="T73" s="321"/>
      <c r="V73" s="1200"/>
      <c r="W73" s="1201"/>
      <c r="X73" s="1202"/>
    </row>
    <row r="74" spans="1:24">
      <c r="B74" s="13"/>
      <c r="C74" s="2"/>
      <c r="D74" s="727"/>
      <c r="E74" s="728"/>
      <c r="F74" s="732"/>
      <c r="G74" s="2"/>
      <c r="H74" s="375"/>
      <c r="I74" s="372"/>
      <c r="J74" s="373"/>
      <c r="K74" s="374"/>
      <c r="L74" s="337">
        <f t="shared" si="1"/>
        <v>0</v>
      </c>
      <c r="M74" s="377"/>
      <c r="N74" s="372"/>
      <c r="O74" s="373"/>
      <c r="P74" s="374"/>
      <c r="Q74" s="115">
        <f t="shared" si="0"/>
        <v>0</v>
      </c>
      <c r="R74" s="342"/>
      <c r="S74" s="49"/>
      <c r="T74" s="321"/>
      <c r="V74" s="1200"/>
      <c r="W74" s="1201"/>
      <c r="X74" s="1202"/>
    </row>
    <row r="75" spans="1:24">
      <c r="B75" s="13"/>
      <c r="C75" s="2"/>
      <c r="D75" s="727"/>
      <c r="E75" s="728"/>
      <c r="F75" s="732"/>
      <c r="G75" s="2"/>
      <c r="H75" s="375"/>
      <c r="I75" s="372"/>
      <c r="J75" s="373"/>
      <c r="K75" s="374"/>
      <c r="L75" s="337">
        <f t="shared" si="1"/>
        <v>0</v>
      </c>
      <c r="M75" s="377"/>
      <c r="N75" s="372"/>
      <c r="O75" s="373"/>
      <c r="P75" s="374"/>
      <c r="Q75" s="115">
        <f t="shared" si="0"/>
        <v>0</v>
      </c>
      <c r="R75" s="342"/>
      <c r="S75" s="49"/>
      <c r="T75" s="321"/>
      <c r="V75" s="1200"/>
      <c r="W75" s="1201"/>
      <c r="X75" s="1202"/>
    </row>
    <row r="76" spans="1:24">
      <c r="B76" s="13"/>
      <c r="C76" s="2"/>
      <c r="D76" s="727"/>
      <c r="E76" s="728"/>
      <c r="F76" s="732"/>
      <c r="G76" s="2"/>
      <c r="H76" s="375"/>
      <c r="I76" s="372"/>
      <c r="J76" s="373"/>
      <c r="K76" s="374"/>
      <c r="L76" s="337">
        <f t="shared" si="1"/>
        <v>0</v>
      </c>
      <c r="M76" s="377"/>
      <c r="N76" s="372"/>
      <c r="O76" s="373"/>
      <c r="P76" s="374"/>
      <c r="Q76" s="115">
        <f t="shared" si="0"/>
        <v>0</v>
      </c>
      <c r="R76" s="342"/>
      <c r="S76" s="49"/>
      <c r="T76" s="321"/>
      <c r="V76" s="1200"/>
      <c r="W76" s="1201"/>
      <c r="X76" s="1202"/>
    </row>
    <row r="77" spans="1:24">
      <c r="B77" s="13"/>
      <c r="C77" s="2"/>
      <c r="D77" s="727"/>
      <c r="E77" s="728"/>
      <c r="F77" s="732"/>
      <c r="G77" s="2"/>
      <c r="H77" s="375"/>
      <c r="I77" s="372"/>
      <c r="J77" s="373"/>
      <c r="K77" s="374"/>
      <c r="L77" s="337">
        <f t="shared" si="1"/>
        <v>0</v>
      </c>
      <c r="M77" s="377"/>
      <c r="N77" s="372"/>
      <c r="O77" s="373"/>
      <c r="P77" s="374"/>
      <c r="Q77" s="115">
        <f t="shared" si="0"/>
        <v>0</v>
      </c>
      <c r="R77" s="342"/>
      <c r="S77" s="49"/>
      <c r="T77" s="321"/>
      <c r="V77" s="1200"/>
      <c r="W77" s="1201"/>
      <c r="X77" s="1202"/>
    </row>
    <row r="78" spans="1:24">
      <c r="B78" s="13"/>
      <c r="C78" s="2"/>
      <c r="D78" s="727"/>
      <c r="E78" s="728"/>
      <c r="F78" s="732"/>
      <c r="G78" s="2"/>
      <c r="H78" s="375"/>
      <c r="I78" s="372"/>
      <c r="J78" s="373"/>
      <c r="K78" s="374"/>
      <c r="L78" s="337">
        <f t="shared" si="1"/>
        <v>0</v>
      </c>
      <c r="M78" s="377"/>
      <c r="N78" s="372"/>
      <c r="O78" s="373"/>
      <c r="P78" s="374"/>
      <c r="Q78" s="115">
        <f t="shared" si="0"/>
        <v>0</v>
      </c>
      <c r="R78" s="342"/>
      <c r="S78" s="49"/>
      <c r="T78" s="321"/>
      <c r="V78" s="1200"/>
      <c r="W78" s="1201"/>
      <c r="X78" s="1202"/>
    </row>
    <row r="79" spans="1:24">
      <c r="B79" s="13"/>
      <c r="C79" s="2"/>
      <c r="D79" s="727"/>
      <c r="E79" s="728"/>
      <c r="F79" s="732"/>
      <c r="G79" s="2"/>
      <c r="H79" s="375"/>
      <c r="I79" s="372"/>
      <c r="J79" s="373"/>
      <c r="K79" s="374"/>
      <c r="L79" s="337">
        <f t="shared" si="1"/>
        <v>0</v>
      </c>
      <c r="M79" s="377"/>
      <c r="N79" s="372"/>
      <c r="O79" s="373"/>
      <c r="P79" s="374"/>
      <c r="Q79" s="115">
        <f t="shared" si="0"/>
        <v>0</v>
      </c>
      <c r="R79" s="342"/>
      <c r="S79" s="49"/>
      <c r="T79" s="321"/>
      <c r="V79" s="1200"/>
      <c r="W79" s="1201"/>
      <c r="X79" s="1202"/>
    </row>
    <row r="80" spans="1:24">
      <c r="B80" s="13"/>
      <c r="C80" s="2"/>
      <c r="D80" s="727"/>
      <c r="E80" s="728"/>
      <c r="F80" s="732"/>
      <c r="G80" s="2"/>
      <c r="H80" s="375"/>
      <c r="I80" s="372"/>
      <c r="J80" s="373"/>
      <c r="K80" s="374"/>
      <c r="L80" s="337">
        <f t="shared" si="1"/>
        <v>0</v>
      </c>
      <c r="M80" s="377"/>
      <c r="N80" s="372"/>
      <c r="O80" s="373"/>
      <c r="P80" s="374"/>
      <c r="Q80" s="115">
        <f t="shared" si="0"/>
        <v>0</v>
      </c>
      <c r="R80" s="342"/>
      <c r="S80" s="49"/>
      <c r="T80" s="321"/>
      <c r="V80" s="1200"/>
      <c r="W80" s="1201"/>
      <c r="X80" s="1202"/>
    </row>
    <row r="81" spans="1:24">
      <c r="B81" s="13"/>
      <c r="C81" s="2"/>
      <c r="D81" s="729"/>
      <c r="E81" s="730"/>
      <c r="F81" s="733"/>
      <c r="G81" s="2"/>
      <c r="H81" s="375"/>
      <c r="I81" s="372"/>
      <c r="J81" s="373"/>
      <c r="K81" s="374"/>
      <c r="L81" s="337">
        <f t="shared" si="1"/>
        <v>0</v>
      </c>
      <c r="M81" s="377"/>
      <c r="N81" s="372"/>
      <c r="O81" s="373"/>
      <c r="P81" s="374"/>
      <c r="Q81" s="115">
        <f t="shared" si="0"/>
        <v>0</v>
      </c>
      <c r="R81" s="342"/>
      <c r="S81" s="49"/>
      <c r="T81" s="321"/>
      <c r="V81" s="1200"/>
      <c r="W81" s="1201"/>
      <c r="X81" s="1202"/>
    </row>
    <row r="82" spans="1:24">
      <c r="B82" s="13"/>
      <c r="C82" s="2"/>
      <c r="D82" s="2"/>
      <c r="E82" s="2"/>
      <c r="F82" s="2"/>
      <c r="G82" s="2"/>
      <c r="H82" s="49"/>
      <c r="I82" s="2"/>
      <c r="J82" s="49"/>
      <c r="L82" s="49"/>
      <c r="M82" s="335"/>
      <c r="N82" s="49"/>
      <c r="O82" s="49"/>
      <c r="P82" s="49"/>
      <c r="Q82" s="49"/>
      <c r="R82" s="49"/>
      <c r="S82" s="208" t="s">
        <v>99</v>
      </c>
      <c r="T82" s="321"/>
      <c r="V82" s="1231"/>
      <c r="W82" s="1232"/>
      <c r="X82" s="1174"/>
    </row>
    <row r="83" spans="1:24" ht="12" customHeight="1">
      <c r="B83" s="13"/>
      <c r="C83" s="2"/>
      <c r="D83" s="236" t="s">
        <v>182</v>
      </c>
      <c r="E83" s="2"/>
      <c r="F83" s="2"/>
      <c r="G83" s="2"/>
      <c r="H83" s="49"/>
      <c r="I83" s="2"/>
      <c r="K83" s="116" t="s">
        <v>196</v>
      </c>
      <c r="L83" s="357"/>
      <c r="M83" s="336"/>
      <c r="N83" s="1"/>
      <c r="O83" s="1"/>
      <c r="P83" s="116" t="s">
        <v>196</v>
      </c>
      <c r="Q83" s="358"/>
      <c r="R83" s="343"/>
      <c r="S83" s="208" t="s">
        <v>98</v>
      </c>
      <c r="T83" s="321"/>
      <c r="V83" s="1231"/>
      <c r="W83" s="1232"/>
      <c r="X83" s="1174"/>
    </row>
    <row r="84" spans="1:24" ht="12" customHeight="1">
      <c r="B84" s="13"/>
      <c r="C84" s="2"/>
      <c r="D84" s="236" t="s">
        <v>183</v>
      </c>
      <c r="E84" s="350"/>
      <c r="F84" s="2"/>
      <c r="G84" s="2"/>
      <c r="H84" s="49"/>
      <c r="I84" s="2"/>
      <c r="J84" s="49"/>
      <c r="K84" s="435" t="s">
        <v>26</v>
      </c>
      <c r="L84" s="334">
        <f>IF(L83=0,SUM(L70:L81),L83)</f>
        <v>0</v>
      </c>
      <c r="M84" s="336"/>
      <c r="N84" s="1"/>
      <c r="O84" s="1"/>
      <c r="P84" s="435" t="s">
        <v>26</v>
      </c>
      <c r="Q84" s="118">
        <f>IF(Q83=0,SUM(Q70:Q81),Q83)</f>
        <v>0</v>
      </c>
      <c r="R84" s="344"/>
      <c r="S84" s="118">
        <f>L84+Q84*'HAW-Kennwerte'!$R$30</f>
        <v>0</v>
      </c>
      <c r="T84" s="321"/>
      <c r="V84" s="1200"/>
      <c r="W84" s="1201"/>
      <c r="X84" s="1202"/>
    </row>
    <row r="85" spans="1:24" ht="10.5">
      <c r="B85" s="13"/>
      <c r="C85" s="2"/>
      <c r="D85" s="2"/>
      <c r="E85" s="2"/>
      <c r="F85" s="2"/>
      <c r="G85" s="2"/>
      <c r="H85" s="49"/>
      <c r="I85" s="2"/>
      <c r="J85" s="49"/>
      <c r="K85" s="242"/>
      <c r="L85" s="2"/>
      <c r="M85" s="336"/>
      <c r="N85" s="1"/>
      <c r="O85" s="1"/>
      <c r="P85" s="49"/>
      <c r="Q85" s="242"/>
      <c r="R85" s="242"/>
      <c r="S85" s="242"/>
      <c r="T85" s="321"/>
      <c r="V85" s="1231"/>
      <c r="W85" s="1232"/>
      <c r="X85" s="1174"/>
    </row>
    <row r="86" spans="1:24" ht="12" customHeight="1">
      <c r="B86" s="13"/>
      <c r="C86" s="2"/>
      <c r="D86" s="716" t="s">
        <v>194</v>
      </c>
      <c r="E86" s="479" t="s">
        <v>195</v>
      </c>
      <c r="F86" s="2"/>
      <c r="G86" s="2"/>
      <c r="I86" s="2"/>
      <c r="J86" s="208"/>
      <c r="K86" s="242"/>
      <c r="L86" s="204"/>
      <c r="M86" s="204"/>
      <c r="N86" s="203"/>
      <c r="O86" s="203"/>
      <c r="P86" s="791"/>
      <c r="Q86" s="202"/>
      <c r="R86" s="607"/>
      <c r="S86" s="607"/>
      <c r="T86" s="321"/>
      <c r="V86" s="1231"/>
      <c r="W86" s="1232"/>
      <c r="X86" s="1174"/>
    </row>
    <row r="87" spans="1:24" ht="12" customHeight="1">
      <c r="B87" s="13"/>
      <c r="C87" s="2"/>
      <c r="D87" s="2"/>
      <c r="E87" s="2"/>
      <c r="F87" s="2"/>
      <c r="G87" s="2"/>
      <c r="H87" s="49"/>
      <c r="I87" s="2"/>
      <c r="J87" s="202"/>
      <c r="K87" s="206">
        <f>IF($Q$87&gt;2023,$Q$87-6,"")</f>
        <v>2019</v>
      </c>
      <c r="L87" s="206">
        <f>IF($Q$87&gt;2023,$Q$87-5,"")</f>
        <v>2020</v>
      </c>
      <c r="M87" s="206">
        <f>IF($Q$87&gt;2023,$Q$87-4,"")</f>
        <v>2021</v>
      </c>
      <c r="N87" s="206">
        <f>IF($Q$87&gt;2023,$Q$87-3,"")</f>
        <v>2022</v>
      </c>
      <c r="O87" s="206">
        <f>IF($Q$87&gt;2023,$Q$87-2,"")</f>
        <v>2023</v>
      </c>
      <c r="P87" s="206">
        <f>IF($Q$87&gt;2023,$Q$87-1,"")</f>
        <v>2024</v>
      </c>
      <c r="Q87" s="711">
        <v>2025</v>
      </c>
      <c r="R87" s="50"/>
      <c r="S87" s="202"/>
      <c r="T87" s="321"/>
      <c r="V87" s="1231"/>
      <c r="W87" s="1232"/>
      <c r="X87" s="1174"/>
    </row>
    <row r="88" spans="1:24" ht="12" customHeight="1">
      <c r="B88" s="13"/>
      <c r="C88" s="2"/>
      <c r="D88" s="2"/>
      <c r="E88" s="2"/>
      <c r="F88" s="2"/>
      <c r="G88" s="2"/>
      <c r="H88" s="49"/>
      <c r="I88" s="2"/>
      <c r="J88" s="435" t="s">
        <v>245</v>
      </c>
      <c r="K88" s="792"/>
      <c r="L88" s="792"/>
      <c r="M88" s="792"/>
      <c r="N88" s="792"/>
      <c r="O88" s="792"/>
      <c r="P88" s="792"/>
      <c r="Q88" s="792"/>
      <c r="R88" s="50"/>
      <c r="S88" s="744">
        <f>IF(S89&gt;0,IF(S89&gt;1,0,S89),IFERROR(IF((K88*3+L88*4+M88*5+N88*6+O88*7+P88*8+Q88*9)/42&gt;1,1,(K88*3+L88*4+M88*5+N88*6+O88*7+P88*8+Q88*9)/42),""))</f>
        <v>0</v>
      </c>
      <c r="T88" s="321"/>
      <c r="V88" s="1233"/>
      <c r="W88" s="1234"/>
      <c r="X88" s="1235"/>
    </row>
    <row r="89" spans="1:24" ht="12" customHeight="1">
      <c r="B89" s="13"/>
      <c r="C89" s="2"/>
      <c r="D89" s="2"/>
      <c r="E89" s="2"/>
      <c r="F89" s="2"/>
      <c r="G89" s="2"/>
      <c r="H89" s="49"/>
      <c r="I89" s="2"/>
      <c r="J89" s="208"/>
      <c r="K89" s="743" t="s">
        <v>246</v>
      </c>
      <c r="L89" s="203"/>
      <c r="M89" s="203"/>
      <c r="N89" s="203"/>
      <c r="O89" s="203"/>
      <c r="P89" s="607"/>
      <c r="Q89" s="202"/>
      <c r="R89" s="50"/>
      <c r="S89" s="1188"/>
      <c r="T89" s="321"/>
    </row>
    <row r="90" spans="1:24">
      <c r="B90" s="45"/>
      <c r="C90" s="46"/>
      <c r="D90" s="46"/>
      <c r="E90" s="46"/>
      <c r="F90" s="46"/>
      <c r="G90" s="46"/>
      <c r="H90" s="46"/>
      <c r="I90" s="46"/>
      <c r="J90" s="119"/>
      <c r="K90" s="46"/>
      <c r="L90" s="119"/>
      <c r="M90" s="46"/>
      <c r="N90" s="119"/>
      <c r="O90" s="230"/>
      <c r="P90" s="119"/>
      <c r="Q90" s="119"/>
      <c r="R90" s="119"/>
      <c r="S90" s="119"/>
      <c r="T90" s="322"/>
    </row>
    <row r="91" spans="1:24">
      <c r="B91" s="12" t="s">
        <v>100</v>
      </c>
      <c r="H91" s="2"/>
      <c r="I91" s="2"/>
      <c r="J91" s="49"/>
      <c r="K91" s="2"/>
      <c r="L91" s="49"/>
      <c r="M91" s="2"/>
      <c r="N91" s="49"/>
      <c r="O91" s="49"/>
      <c r="P91" s="49"/>
      <c r="Q91" s="49"/>
      <c r="R91" s="49"/>
      <c r="S91" s="49"/>
      <c r="T91" s="121"/>
    </row>
    <row r="92" spans="1:24">
      <c r="A92" s="106"/>
      <c r="B92" s="209" t="s">
        <v>68</v>
      </c>
      <c r="C92" s="106"/>
      <c r="D92" s="106"/>
      <c r="E92" s="106"/>
      <c r="F92" s="106"/>
      <c r="G92" s="106"/>
      <c r="H92" s="106"/>
      <c r="I92" s="106"/>
      <c r="J92" s="107"/>
      <c r="K92" s="106"/>
      <c r="L92" s="107"/>
      <c r="M92" s="106"/>
      <c r="N92" s="107"/>
      <c r="O92" s="107"/>
      <c r="P92" s="107"/>
      <c r="Q92" s="107"/>
      <c r="R92" s="107"/>
      <c r="S92" s="107"/>
      <c r="T92" s="107"/>
    </row>
    <row r="93" spans="1:24">
      <c r="Q93" s="201"/>
      <c r="R93" s="201"/>
      <c r="S93" s="201" t="str">
        <f>HAW!B28</f>
        <v>Kennwertverfahren NRW für HAW; HIS-Institut für Hochschulentwicklung e.V. (24.04.2026)</v>
      </c>
      <c r="T93" s="201"/>
    </row>
    <row r="95" spans="1:24">
      <c r="B95" s="229"/>
      <c r="C95" s="202"/>
    </row>
    <row r="96" spans="1:24" ht="10.5">
      <c r="B96" s="794" t="str">
        <f>IF(B8=0,B7,CONCATENATE(B7,B8))</f>
        <v>Hochschule …</v>
      </c>
      <c r="C96" s="795"/>
      <c r="D96" s="795"/>
      <c r="E96" s="795"/>
      <c r="F96" s="795"/>
      <c r="G96" s="795"/>
      <c r="H96" s="795"/>
      <c r="I96" s="795"/>
      <c r="J96" s="796"/>
      <c r="K96" s="795"/>
      <c r="L96" s="796"/>
      <c r="M96" s="795"/>
      <c r="N96" s="796"/>
      <c r="O96" s="796"/>
      <c r="P96" s="796"/>
      <c r="Q96" s="796"/>
      <c r="R96" s="796"/>
      <c r="S96" s="796"/>
    </row>
    <row r="97" spans="2:19">
      <c r="B97" s="795" t="str">
        <f>B9</f>
        <v>[Fakultät/Fachbereich]</v>
      </c>
      <c r="C97" s="795"/>
      <c r="D97" s="795"/>
      <c r="E97" s="795"/>
      <c r="F97" s="795"/>
      <c r="G97" s="795"/>
      <c r="H97" s="795"/>
      <c r="I97" s="795"/>
      <c r="J97" s="796"/>
      <c r="K97" s="795"/>
      <c r="L97" s="796"/>
      <c r="M97" s="795"/>
      <c r="N97" s="796"/>
      <c r="O97" s="796"/>
      <c r="P97" s="796"/>
      <c r="Q97" s="796"/>
      <c r="R97" s="796"/>
      <c r="S97" s="796"/>
    </row>
    <row r="98" spans="2:19">
      <c r="B98" s="795" t="str">
        <f>B10</f>
        <v>[Department, Institut o.a.]</v>
      </c>
      <c r="C98" s="795"/>
      <c r="D98" s="795"/>
      <c r="E98" s="795"/>
      <c r="F98" s="795"/>
      <c r="G98" s="795"/>
      <c r="H98" s="795"/>
      <c r="I98" s="795"/>
      <c r="J98" s="796"/>
      <c r="K98" s="795"/>
      <c r="L98" s="796"/>
      <c r="M98" s="795"/>
      <c r="N98" s="796"/>
      <c r="O98" s="796"/>
      <c r="P98" s="796"/>
      <c r="Q98" s="796"/>
      <c r="R98" s="796"/>
      <c r="S98" s="796"/>
    </row>
    <row r="99" spans="2:19">
      <c r="B99" s="795" t="str">
        <f>CONCATENATE(B12,": ",B13)</f>
        <v>Lehr- und Forschungsbereich: Architektur</v>
      </c>
      <c r="C99" s="795"/>
      <c r="D99" s="795"/>
      <c r="E99" s="795"/>
      <c r="F99" s="795"/>
      <c r="G99" s="795"/>
      <c r="H99" s="795"/>
      <c r="I99" s="795"/>
      <c r="J99" s="796"/>
      <c r="K99" s="795"/>
      <c r="L99" s="796"/>
      <c r="M99" s="795"/>
      <c r="N99" s="796"/>
      <c r="O99" s="796"/>
      <c r="P99" s="796"/>
      <c r="Q99" s="796"/>
      <c r="R99" s="796"/>
      <c r="S99" s="796"/>
    </row>
    <row r="100" spans="2:19">
      <c r="B100" s="202"/>
      <c r="C100" s="202"/>
      <c r="D100" s="202"/>
      <c r="E100" s="202"/>
      <c r="F100" s="202"/>
      <c r="G100" s="202"/>
      <c r="H100" s="202"/>
      <c r="I100" s="202"/>
      <c r="J100" s="607"/>
      <c r="K100" s="202"/>
      <c r="L100" s="607"/>
      <c r="M100" s="202"/>
      <c r="N100" s="607"/>
      <c r="O100" s="607"/>
      <c r="P100" s="607"/>
      <c r="Q100" s="607"/>
      <c r="R100" s="607"/>
      <c r="S100" s="607"/>
    </row>
    <row r="101" spans="2:19">
      <c r="B101" s="110" t="s">
        <v>267</v>
      </c>
      <c r="C101" s="206"/>
      <c r="D101" s="206"/>
      <c r="E101" s="206"/>
      <c r="F101" s="206"/>
      <c r="G101" s="206"/>
      <c r="H101" s="206"/>
      <c r="I101" s="206"/>
      <c r="J101" s="208"/>
      <c r="K101" s="206"/>
      <c r="L101" s="208"/>
      <c r="M101" s="206"/>
      <c r="N101" s="208"/>
      <c r="O101" s="208"/>
      <c r="P101" s="208"/>
      <c r="Q101" s="208"/>
      <c r="R101" s="208"/>
      <c r="S101" s="208"/>
    </row>
    <row r="102" spans="2:19">
      <c r="B102" s="909"/>
      <c r="C102" s="910"/>
      <c r="D102" s="910"/>
      <c r="E102" s="910"/>
      <c r="F102" s="910"/>
      <c r="G102" s="910"/>
      <c r="H102" s="910"/>
      <c r="I102" s="910"/>
      <c r="J102" s="544"/>
      <c r="K102" s="910"/>
      <c r="L102" s="544"/>
      <c r="M102" s="910"/>
      <c r="N102" s="544"/>
      <c r="O102" s="544"/>
      <c r="P102" s="544"/>
      <c r="Q102" s="544"/>
      <c r="R102" s="544"/>
      <c r="S102" s="1173"/>
    </row>
    <row r="103" spans="2:19" ht="10.5">
      <c r="B103" s="210"/>
      <c r="C103" s="206"/>
      <c r="D103" s="206"/>
      <c r="E103" s="206"/>
      <c r="F103" s="206"/>
      <c r="G103" s="207" t="s">
        <v>249</v>
      </c>
      <c r="H103" s="817">
        <f>SUM(H107:H126)</f>
        <v>0</v>
      </c>
      <c r="I103" s="208"/>
      <c r="J103" s="208"/>
      <c r="K103" s="206"/>
      <c r="L103" s="208"/>
      <c r="M103" s="206"/>
      <c r="N103" s="208"/>
      <c r="O103" s="1166" t="s">
        <v>269</v>
      </c>
      <c r="P103" s="818">
        <f>SUMPRODUCT(H107:H126,P107:P126)</f>
        <v>0</v>
      </c>
      <c r="Q103" s="208"/>
      <c r="R103" s="208"/>
      <c r="S103" s="1174"/>
    </row>
    <row r="104" spans="2:19">
      <c r="B104" s="210"/>
      <c r="C104" s="206"/>
      <c r="D104" s="206"/>
      <c r="E104" s="206"/>
      <c r="F104" s="206"/>
      <c r="G104" s="207"/>
      <c r="H104" s="798"/>
      <c r="I104" s="206"/>
      <c r="J104" s="208"/>
      <c r="K104" s="206"/>
      <c r="L104" s="208"/>
      <c r="M104" s="206"/>
      <c r="N104" s="207"/>
      <c r="O104" s="208"/>
      <c r="P104" s="819"/>
      <c r="Q104" s="208"/>
      <c r="R104" s="208"/>
      <c r="S104" s="1174"/>
    </row>
    <row r="105" spans="2:19">
      <c r="B105" s="210"/>
      <c r="C105" s="206"/>
      <c r="D105" s="206"/>
      <c r="E105" s="206"/>
      <c r="F105" s="206"/>
      <c r="G105" s="206"/>
      <c r="H105" s="206"/>
      <c r="I105" s="206"/>
      <c r="J105" s="208"/>
      <c r="K105" s="206"/>
      <c r="L105" s="208"/>
      <c r="M105" s="206"/>
      <c r="N105" s="208"/>
      <c r="O105" s="208"/>
      <c r="P105" s="208"/>
      <c r="Q105" s="208"/>
      <c r="R105" s="208"/>
      <c r="S105" s="1174"/>
    </row>
    <row r="106" spans="2:19" ht="10.5">
      <c r="B106" s="1175" t="s">
        <v>250</v>
      </c>
      <c r="C106" s="800" t="s">
        <v>251</v>
      </c>
      <c r="D106" s="238"/>
      <c r="E106" s="238"/>
      <c r="F106" s="238"/>
      <c r="G106" s="238"/>
      <c r="H106" s="239" t="s">
        <v>252</v>
      </c>
      <c r="I106" s="238" t="s">
        <v>253</v>
      </c>
      <c r="J106" s="238"/>
      <c r="K106" s="239"/>
      <c r="L106" s="238"/>
      <c r="M106" s="239"/>
      <c r="N106" s="208"/>
      <c r="O106" s="801" t="s">
        <v>88</v>
      </c>
      <c r="P106" s="832" t="s">
        <v>268</v>
      </c>
      <c r="Q106" s="239"/>
      <c r="R106" s="208"/>
      <c r="S106" s="1174"/>
    </row>
    <row r="107" spans="2:19">
      <c r="B107" s="210" t="str">
        <f>IF(COUNTA(C107)=1,1,"")</f>
        <v/>
      </c>
      <c r="C107" s="802"/>
      <c r="D107" s="803"/>
      <c r="E107" s="803"/>
      <c r="F107" s="803"/>
      <c r="G107" s="803"/>
      <c r="H107" s="804"/>
      <c r="I107" s="802"/>
      <c r="J107" s="803"/>
      <c r="K107" s="803"/>
      <c r="L107" s="803"/>
      <c r="M107" s="803"/>
      <c r="N107" s="803"/>
      <c r="O107" s="805"/>
      <c r="P107" s="806"/>
      <c r="Q107" s="820"/>
      <c r="R107" s="807">
        <f>SUM(O107:P107)</f>
        <v>0</v>
      </c>
      <c r="S107" s="1174"/>
    </row>
    <row r="108" spans="2:19">
      <c r="B108" s="210" t="str">
        <f>IF(COUNTA(C108)=1,MAX(B$107:B107)+1,"")</f>
        <v/>
      </c>
      <c r="C108" s="808"/>
      <c r="D108" s="809"/>
      <c r="E108" s="809"/>
      <c r="F108" s="809"/>
      <c r="G108" s="809"/>
      <c r="H108" s="810"/>
      <c r="I108" s="808"/>
      <c r="J108" s="809"/>
      <c r="K108" s="809"/>
      <c r="L108" s="809"/>
      <c r="M108" s="809"/>
      <c r="N108" s="809"/>
      <c r="O108" s="811"/>
      <c r="P108" s="812"/>
      <c r="Q108" s="821">
        <v>0</v>
      </c>
      <c r="R108" s="807">
        <f>SUM(O108:P108)</f>
        <v>0</v>
      </c>
      <c r="S108" s="1174"/>
    </row>
    <row r="109" spans="2:19">
      <c r="B109" s="210" t="str">
        <f>IF(COUNTA(C109)=1,MAX(B$107:B108)+1,"")</f>
        <v/>
      </c>
      <c r="C109" s="808"/>
      <c r="D109" s="809"/>
      <c r="E109" s="809"/>
      <c r="F109" s="809"/>
      <c r="G109" s="809"/>
      <c r="H109" s="810"/>
      <c r="I109" s="808"/>
      <c r="J109" s="809"/>
      <c r="K109" s="809"/>
      <c r="L109" s="809"/>
      <c r="M109" s="809"/>
      <c r="N109" s="809"/>
      <c r="O109" s="811"/>
      <c r="P109" s="812"/>
      <c r="Q109" s="821"/>
      <c r="R109" s="807">
        <f t="shared" ref="R109:R126" si="2">SUM(O109:P109)</f>
        <v>0</v>
      </c>
      <c r="S109" s="1174"/>
    </row>
    <row r="110" spans="2:19">
      <c r="B110" s="210" t="str">
        <f>IF(COUNTA(C110)=1,MAX(B$107:B109)+1,"")</f>
        <v/>
      </c>
      <c r="C110" s="808"/>
      <c r="D110" s="809"/>
      <c r="E110" s="809"/>
      <c r="F110" s="809"/>
      <c r="G110" s="809"/>
      <c r="H110" s="810"/>
      <c r="I110" s="808"/>
      <c r="J110" s="809"/>
      <c r="K110" s="809"/>
      <c r="L110" s="809"/>
      <c r="M110" s="809"/>
      <c r="N110" s="809"/>
      <c r="O110" s="811"/>
      <c r="P110" s="812"/>
      <c r="Q110" s="821"/>
      <c r="R110" s="807">
        <f t="shared" si="2"/>
        <v>0</v>
      </c>
      <c r="S110" s="1174"/>
    </row>
    <row r="111" spans="2:19">
      <c r="B111" s="210" t="str">
        <f>IF(COUNTA(C111)=1,MAX(B$107:B110)+1,"")</f>
        <v/>
      </c>
      <c r="C111" s="808"/>
      <c r="D111" s="809"/>
      <c r="E111" s="809"/>
      <c r="F111" s="809"/>
      <c r="G111" s="809"/>
      <c r="H111" s="810"/>
      <c r="I111" s="808"/>
      <c r="J111" s="809"/>
      <c r="K111" s="809"/>
      <c r="L111" s="809"/>
      <c r="M111" s="809"/>
      <c r="N111" s="809"/>
      <c r="O111" s="811"/>
      <c r="P111" s="812"/>
      <c r="Q111" s="821"/>
      <c r="R111" s="807">
        <f t="shared" si="2"/>
        <v>0</v>
      </c>
      <c r="S111" s="1174"/>
    </row>
    <row r="112" spans="2:19">
      <c r="B112" s="210" t="str">
        <f>IF(COUNTA(C112)=1,MAX(B$107:B111)+1,"")</f>
        <v/>
      </c>
      <c r="C112" s="808"/>
      <c r="D112" s="809"/>
      <c r="E112" s="809"/>
      <c r="F112" s="809"/>
      <c r="G112" s="809"/>
      <c r="H112" s="810"/>
      <c r="I112" s="808"/>
      <c r="J112" s="809"/>
      <c r="K112" s="809"/>
      <c r="L112" s="809"/>
      <c r="M112" s="809"/>
      <c r="N112" s="809"/>
      <c r="O112" s="811"/>
      <c r="P112" s="812"/>
      <c r="Q112" s="821"/>
      <c r="R112" s="807">
        <f t="shared" si="2"/>
        <v>0</v>
      </c>
      <c r="S112" s="1174"/>
    </row>
    <row r="113" spans="2:19">
      <c r="B113" s="210" t="str">
        <f>IF(COUNTA(C113)=1,MAX(B$107:B112)+1,"")</f>
        <v/>
      </c>
      <c r="C113" s="808"/>
      <c r="D113" s="809"/>
      <c r="E113" s="809"/>
      <c r="F113" s="809"/>
      <c r="G113" s="809"/>
      <c r="H113" s="810"/>
      <c r="I113" s="808"/>
      <c r="J113" s="809"/>
      <c r="K113" s="809"/>
      <c r="L113" s="809"/>
      <c r="M113" s="809"/>
      <c r="N113" s="809"/>
      <c r="O113" s="811"/>
      <c r="P113" s="812"/>
      <c r="Q113" s="821"/>
      <c r="R113" s="807">
        <f t="shared" si="2"/>
        <v>0</v>
      </c>
      <c r="S113" s="1174"/>
    </row>
    <row r="114" spans="2:19">
      <c r="B114" s="210" t="str">
        <f>IF(COUNTA(C114)=1,MAX(B$107:B113)+1,"")</f>
        <v/>
      </c>
      <c r="C114" s="808"/>
      <c r="D114" s="809"/>
      <c r="E114" s="809"/>
      <c r="F114" s="809"/>
      <c r="G114" s="809"/>
      <c r="H114" s="810"/>
      <c r="I114" s="808"/>
      <c r="J114" s="809"/>
      <c r="K114" s="809"/>
      <c r="L114" s="809"/>
      <c r="M114" s="809"/>
      <c r="N114" s="809"/>
      <c r="O114" s="811"/>
      <c r="P114" s="812"/>
      <c r="Q114" s="821"/>
      <c r="R114" s="807">
        <f t="shared" si="2"/>
        <v>0</v>
      </c>
      <c r="S114" s="1174"/>
    </row>
    <row r="115" spans="2:19">
      <c r="B115" s="210" t="str">
        <f>IF(COUNTA(C115)=1,MAX(B$107:B114)+1,"")</f>
        <v/>
      </c>
      <c r="C115" s="808"/>
      <c r="D115" s="809"/>
      <c r="E115" s="809"/>
      <c r="F115" s="809"/>
      <c r="G115" s="809"/>
      <c r="H115" s="810"/>
      <c r="I115" s="808"/>
      <c r="J115" s="809"/>
      <c r="K115" s="809"/>
      <c r="L115" s="809"/>
      <c r="M115" s="809"/>
      <c r="N115" s="809"/>
      <c r="O115" s="811"/>
      <c r="P115" s="812"/>
      <c r="Q115" s="821"/>
      <c r="R115" s="807">
        <f t="shared" si="2"/>
        <v>0</v>
      </c>
      <c r="S115" s="1174"/>
    </row>
    <row r="116" spans="2:19">
      <c r="B116" s="210" t="str">
        <f>IF(COUNTA(C116)=1,MAX(B$107:B115)+1,"")</f>
        <v/>
      </c>
      <c r="C116" s="808"/>
      <c r="D116" s="809"/>
      <c r="E116" s="809"/>
      <c r="F116" s="809"/>
      <c r="G116" s="809"/>
      <c r="H116" s="810"/>
      <c r="I116" s="808"/>
      <c r="J116" s="809"/>
      <c r="K116" s="809"/>
      <c r="L116" s="809"/>
      <c r="M116" s="809"/>
      <c r="N116" s="809"/>
      <c r="O116" s="811"/>
      <c r="P116" s="812"/>
      <c r="Q116" s="821"/>
      <c r="R116" s="807">
        <f t="shared" si="2"/>
        <v>0</v>
      </c>
      <c r="S116" s="1174"/>
    </row>
    <row r="117" spans="2:19">
      <c r="B117" s="210" t="str">
        <f>IF(COUNTA(C117)=1,MAX(B$107:B116)+1,"")</f>
        <v/>
      </c>
      <c r="C117" s="808"/>
      <c r="D117" s="809"/>
      <c r="E117" s="809"/>
      <c r="F117" s="809"/>
      <c r="G117" s="809"/>
      <c r="H117" s="810"/>
      <c r="I117" s="808"/>
      <c r="J117" s="809"/>
      <c r="K117" s="809"/>
      <c r="L117" s="809"/>
      <c r="M117" s="809"/>
      <c r="N117" s="809"/>
      <c r="O117" s="811"/>
      <c r="P117" s="812"/>
      <c r="Q117" s="821"/>
      <c r="R117" s="807">
        <f t="shared" si="2"/>
        <v>0</v>
      </c>
      <c r="S117" s="1174"/>
    </row>
    <row r="118" spans="2:19">
      <c r="B118" s="210" t="str">
        <f>IF(COUNTA(C118)=1,MAX(B$107:B117)+1,"")</f>
        <v/>
      </c>
      <c r="C118" s="808"/>
      <c r="D118" s="809"/>
      <c r="E118" s="809"/>
      <c r="F118" s="809"/>
      <c r="G118" s="809"/>
      <c r="H118" s="810"/>
      <c r="I118" s="808"/>
      <c r="J118" s="809"/>
      <c r="K118" s="809"/>
      <c r="L118" s="809"/>
      <c r="M118" s="809"/>
      <c r="N118" s="809"/>
      <c r="O118" s="811"/>
      <c r="P118" s="812"/>
      <c r="Q118" s="821"/>
      <c r="R118" s="807">
        <f t="shared" si="2"/>
        <v>0</v>
      </c>
      <c r="S118" s="1174"/>
    </row>
    <row r="119" spans="2:19">
      <c r="B119" s="210" t="str">
        <f>IF(COUNTA(C119)=1,MAX(B$107:B118)+1,"")</f>
        <v/>
      </c>
      <c r="C119" s="808"/>
      <c r="D119" s="809"/>
      <c r="E119" s="809"/>
      <c r="F119" s="809"/>
      <c r="G119" s="809"/>
      <c r="H119" s="810"/>
      <c r="I119" s="808"/>
      <c r="J119" s="809"/>
      <c r="K119" s="809"/>
      <c r="L119" s="809"/>
      <c r="M119" s="809"/>
      <c r="N119" s="809"/>
      <c r="O119" s="811"/>
      <c r="P119" s="812"/>
      <c r="Q119" s="821"/>
      <c r="R119" s="807">
        <f t="shared" si="2"/>
        <v>0</v>
      </c>
      <c r="S119" s="1174"/>
    </row>
    <row r="120" spans="2:19">
      <c r="B120" s="210" t="str">
        <f>IF(COUNTA(C120)=1,MAX(B$107:B119)+1,"")</f>
        <v/>
      </c>
      <c r="C120" s="808"/>
      <c r="D120" s="809"/>
      <c r="E120" s="809"/>
      <c r="F120" s="809"/>
      <c r="G120" s="809"/>
      <c r="H120" s="810"/>
      <c r="I120" s="808"/>
      <c r="J120" s="809"/>
      <c r="K120" s="809"/>
      <c r="L120" s="809"/>
      <c r="M120" s="809"/>
      <c r="N120" s="809"/>
      <c r="O120" s="811"/>
      <c r="P120" s="812"/>
      <c r="Q120" s="821"/>
      <c r="R120" s="807">
        <f t="shared" si="2"/>
        <v>0</v>
      </c>
      <c r="S120" s="1174"/>
    </row>
    <row r="121" spans="2:19">
      <c r="B121" s="210" t="str">
        <f>IF(COUNTA(C121)=1,MAX(B$107:B120)+1,"")</f>
        <v/>
      </c>
      <c r="C121" s="808"/>
      <c r="D121" s="809"/>
      <c r="E121" s="809"/>
      <c r="F121" s="809"/>
      <c r="G121" s="809"/>
      <c r="H121" s="810"/>
      <c r="I121" s="808"/>
      <c r="J121" s="809"/>
      <c r="K121" s="809"/>
      <c r="L121" s="809"/>
      <c r="M121" s="809"/>
      <c r="N121" s="809"/>
      <c r="O121" s="811"/>
      <c r="P121" s="812"/>
      <c r="Q121" s="821"/>
      <c r="R121" s="807">
        <f t="shared" si="2"/>
        <v>0</v>
      </c>
      <c r="S121" s="1174"/>
    </row>
    <row r="122" spans="2:19">
      <c r="B122" s="210" t="str">
        <f>IF(COUNTA(C122)=1,MAX(B$107:B121)+1,"")</f>
        <v/>
      </c>
      <c r="C122" s="808"/>
      <c r="D122" s="809"/>
      <c r="E122" s="809"/>
      <c r="F122" s="809"/>
      <c r="G122" s="809"/>
      <c r="H122" s="810"/>
      <c r="I122" s="808"/>
      <c r="J122" s="809"/>
      <c r="K122" s="809"/>
      <c r="L122" s="809"/>
      <c r="M122" s="809"/>
      <c r="N122" s="809"/>
      <c r="O122" s="811"/>
      <c r="P122" s="812"/>
      <c r="Q122" s="821"/>
      <c r="R122" s="807">
        <f t="shared" si="2"/>
        <v>0</v>
      </c>
      <c r="S122" s="1174"/>
    </row>
    <row r="123" spans="2:19">
      <c r="B123" s="210" t="str">
        <f>IF(COUNTA(C123)=1,MAX(B$107:B122)+1,"")</f>
        <v/>
      </c>
      <c r="C123" s="808"/>
      <c r="D123" s="809"/>
      <c r="E123" s="809"/>
      <c r="F123" s="809"/>
      <c r="G123" s="809"/>
      <c r="H123" s="810"/>
      <c r="I123" s="808"/>
      <c r="J123" s="809"/>
      <c r="K123" s="809"/>
      <c r="L123" s="809"/>
      <c r="M123" s="809"/>
      <c r="N123" s="809"/>
      <c r="O123" s="811"/>
      <c r="P123" s="812"/>
      <c r="Q123" s="821"/>
      <c r="R123" s="807">
        <f t="shared" si="2"/>
        <v>0</v>
      </c>
      <c r="S123" s="1174"/>
    </row>
    <row r="124" spans="2:19">
      <c r="B124" s="210" t="str">
        <f>IF(COUNTA(C124)=1,MAX(B$107:B123)+1,"")</f>
        <v/>
      </c>
      <c r="C124" s="808"/>
      <c r="D124" s="809"/>
      <c r="E124" s="809"/>
      <c r="F124" s="809"/>
      <c r="G124" s="809"/>
      <c r="H124" s="810"/>
      <c r="I124" s="808"/>
      <c r="J124" s="809"/>
      <c r="K124" s="809"/>
      <c r="L124" s="809"/>
      <c r="M124" s="809"/>
      <c r="N124" s="809"/>
      <c r="O124" s="811"/>
      <c r="P124" s="812"/>
      <c r="Q124" s="821"/>
      <c r="R124" s="807">
        <f t="shared" si="2"/>
        <v>0</v>
      </c>
      <c r="S124" s="1174"/>
    </row>
    <row r="125" spans="2:19">
      <c r="B125" s="210" t="str">
        <f>IF(COUNTA(C125)=1,MAX(B$107:B124)+1,"")</f>
        <v/>
      </c>
      <c r="C125" s="808"/>
      <c r="D125" s="809"/>
      <c r="E125" s="809"/>
      <c r="F125" s="809"/>
      <c r="G125" s="809"/>
      <c r="H125" s="810"/>
      <c r="I125" s="808"/>
      <c r="J125" s="809"/>
      <c r="K125" s="809"/>
      <c r="L125" s="809"/>
      <c r="M125" s="809"/>
      <c r="N125" s="809"/>
      <c r="O125" s="811"/>
      <c r="P125" s="812"/>
      <c r="Q125" s="821"/>
      <c r="R125" s="807">
        <f t="shared" si="2"/>
        <v>0</v>
      </c>
      <c r="S125" s="1174"/>
    </row>
    <row r="126" spans="2:19">
      <c r="B126" s="210" t="str">
        <f>IF(COUNTA(C126)=1,MAX(B$107:B125)+1,"")</f>
        <v/>
      </c>
      <c r="C126" s="808"/>
      <c r="D126" s="809"/>
      <c r="E126" s="809"/>
      <c r="F126" s="809"/>
      <c r="G126" s="809"/>
      <c r="H126" s="810"/>
      <c r="I126" s="808"/>
      <c r="J126" s="809"/>
      <c r="K126" s="809"/>
      <c r="L126" s="809"/>
      <c r="M126" s="809"/>
      <c r="N126" s="809"/>
      <c r="O126" s="811"/>
      <c r="P126" s="812"/>
      <c r="Q126" s="821"/>
      <c r="R126" s="807">
        <f t="shared" si="2"/>
        <v>0</v>
      </c>
      <c r="S126" s="1174"/>
    </row>
  </sheetData>
  <sheetProtection algorithmName="SHA-512" hashValue="ZKqUKhEhK+33V4ExvZEunDL+cjeT81dLdxdwjIJ9l8jF9cltvqOLsLFgziz/0t3thf9k2oq+w2CxAgurZviTSQ==" saltValue="Qd32IaD7oARfhXWI6LhDDA==" spinCount="100000" sheet="1" selectLockedCells="1"/>
  <mergeCells count="8">
    <mergeCell ref="O1:O2"/>
    <mergeCell ref="P1:P2"/>
    <mergeCell ref="Q1:Q2"/>
    <mergeCell ref="D27:E27"/>
    <mergeCell ref="D28:E28"/>
    <mergeCell ref="L1:L2"/>
    <mergeCell ref="M1:M2"/>
    <mergeCell ref="N1:N2"/>
  </mergeCells>
  <conditionalFormatting sqref="E21">
    <cfRule type="cellIs" dxfId="120" priority="7" stopIfTrue="1" operator="equal">
      <formula>1</formula>
    </cfRule>
  </conditionalFormatting>
  <conditionalFormatting sqref="E86">
    <cfRule type="cellIs" dxfId="119" priority="13" stopIfTrue="1" operator="equal">
      <formula>1</formula>
    </cfRule>
  </conditionalFormatting>
  <conditionalFormatting sqref="N6">
    <cfRule type="cellIs" dxfId="118" priority="6" operator="equal">
      <formula>1</formula>
    </cfRule>
  </conditionalFormatting>
  <conditionalFormatting sqref="N18">
    <cfRule type="cellIs" dxfId="117" priority="5" operator="equal">
      <formula>1</formula>
    </cfRule>
  </conditionalFormatting>
  <conditionalFormatting sqref="N22:N23">
    <cfRule type="cellIs" dxfId="116" priority="23" stopIfTrue="1" operator="equal">
      <formula>0</formula>
    </cfRule>
  </conditionalFormatting>
  <conditionalFormatting sqref="O10">
    <cfRule type="cellIs" dxfId="115" priority="1" operator="equal">
      <formula>1</formula>
    </cfRule>
  </conditionalFormatting>
  <conditionalFormatting sqref="O18 N19:O20">
    <cfRule type="cellIs" dxfId="114" priority="18" stopIfTrue="1" operator="equal">
      <formula>0</formula>
    </cfRule>
  </conditionalFormatting>
  <conditionalFormatting sqref="R107:R126">
    <cfRule type="cellIs" dxfId="113" priority="2" operator="notEqual">
      <formula>1</formula>
    </cfRule>
    <cfRule type="cellIs" dxfId="112" priority="3" operator="equal">
      <formula>1</formula>
    </cfRule>
  </conditionalFormatting>
  <conditionalFormatting sqref="S65">
    <cfRule type="cellIs" dxfId="111" priority="21" operator="equal">
      <formula>1</formula>
    </cfRule>
    <cfRule type="cellIs" dxfId="110" priority="22" operator="notEqual">
      <formula>1</formula>
    </cfRule>
  </conditionalFormatting>
  <dataValidations disablePrompts="1" count="5">
    <dataValidation type="decimal" errorStyle="information" operator="lessThanOrEqual" allowBlank="1" showInputMessage="1" showErrorMessage="1" error="Bitte nur Werte bis max. 15% verwenden." prompt="Bitte nur Werte bis max. 15% verwenden." sqref="E84" xr:uid="{0EBCBA0B-DC5B-4282-8584-64FCD7D4550E}">
      <formula1>0.15</formula1>
    </dataValidation>
    <dataValidation type="list" allowBlank="1" showInputMessage="1" showErrorMessage="1" sqref="Q25:Q29" xr:uid="{1FF59C54-1C9D-497B-B622-5145D2DB94D3}">
      <formula1>"Büro, Labor, Allg. Lehren und Lernen, Fachspez. Lehre, Lager, Weitere STB"</formula1>
    </dataValidation>
    <dataValidation type="list" allowBlank="1" sqref="E86 E21" xr:uid="{6DC263EA-88CD-4374-BFFA-C67EA8063D38}">
      <formula1>"ja, nein"</formula1>
    </dataValidation>
    <dataValidation allowBlank="1" showInputMessage="1" showErrorMessage="1" prompt="Für die weitere Berechnung werden nur Werte bis max. 100% übernommen." sqref="S89" xr:uid="{24432069-704A-409A-801C-E9BB82D728D7}"/>
    <dataValidation type="list" allowBlank="1" showInputMessage="1" showErrorMessage="1" sqref="O107:P126" xr:uid="{1CE44739-A369-41EC-ADA1-621C5DDB9096}">
      <formula1>"0%,50%,100%"</formula1>
    </dataValidation>
  </dataValidations>
  <pageMargins left="0.59055118110236227" right="0.59055118110236227" top="0.78740157480314965" bottom="0.59055118110236227" header="0.51181102362204722" footer="0.27559055118110237"/>
  <pageSetup paperSize="9" scale="79" orientation="portrait" r:id="rId1"/>
  <headerFooter alignWithMargins="0">
    <oddFooter>&amp;C&amp;8Seite &amp;P von &amp;N</oddFooter>
  </headerFooter>
  <rowBreaks count="1" manualBreakCount="1">
    <brk id="51"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449A6-9D42-424B-8C52-52951FDC2EA2}">
  <sheetPr codeName="Tabelle8">
    <tabColor theme="9" tint="-0.249977111117893"/>
  </sheetPr>
  <dimension ref="A1:X156"/>
  <sheetViews>
    <sheetView showGridLines="0" showZeros="0" zoomScale="115" zoomScaleNormal="115" zoomScaleSheetLayoutView="115" workbookViewId="0">
      <selection activeCell="B9" sqref="B9"/>
    </sheetView>
  </sheetViews>
  <sheetFormatPr baseColWidth="10" defaultColWidth="11.453125" defaultRowHeight="10"/>
  <cols>
    <col min="1" max="1" width="0.54296875" style="1" customWidth="1"/>
    <col min="2" max="2" width="9.54296875" style="1" customWidth="1"/>
    <col min="3" max="3" width="6.54296875" style="1" customWidth="1"/>
    <col min="4" max="4" width="5.54296875" style="1" customWidth="1"/>
    <col min="5" max="5" width="5.453125" style="1" customWidth="1"/>
    <col min="6" max="6" width="1.81640625" style="1" customWidth="1"/>
    <col min="7" max="7" width="1.453125" style="1" customWidth="1"/>
    <col min="8" max="9" width="7.453125" style="1" customWidth="1"/>
    <col min="10" max="10" width="7.453125" style="42" customWidth="1"/>
    <col min="11" max="11" width="7.453125" style="1" customWidth="1"/>
    <col min="12" max="12" width="7.453125" style="42" customWidth="1"/>
    <col min="13" max="13" width="7.453125" style="1" customWidth="1"/>
    <col min="14" max="15" width="7.453125" style="42" customWidth="1"/>
    <col min="16" max="16" width="8.54296875" style="42" customWidth="1"/>
    <col min="17" max="17" width="7.453125" style="42" customWidth="1"/>
    <col min="18" max="18" width="0.81640625" style="42" customWidth="1"/>
    <col min="19" max="19" width="7.453125" style="42" customWidth="1"/>
    <col min="20" max="20" width="1.1796875" style="1" customWidth="1"/>
    <col min="21" max="21" width="7.1796875" style="202" customWidth="1"/>
    <col min="22" max="24" width="7.26953125" style="202" customWidth="1"/>
    <col min="25" max="16384" width="11.453125" style="1"/>
  </cols>
  <sheetData>
    <row r="1" spans="1:24" ht="13" customHeight="1">
      <c r="A1" s="7"/>
      <c r="B1" s="8"/>
      <c r="C1" s="8"/>
      <c r="D1" s="8"/>
      <c r="E1" s="8"/>
      <c r="F1" s="9"/>
      <c r="H1" s="214"/>
      <c r="I1" s="216"/>
      <c r="J1" s="108"/>
      <c r="K1" s="9"/>
      <c r="L1" s="1364" t="s">
        <v>57</v>
      </c>
      <c r="M1" s="1364" t="s">
        <v>108</v>
      </c>
      <c r="N1" s="1364" t="s">
        <v>126</v>
      </c>
      <c r="O1" s="1364" t="s">
        <v>58</v>
      </c>
      <c r="P1" s="1356" t="s">
        <v>11</v>
      </c>
      <c r="Q1" s="1358" t="s">
        <v>113</v>
      </c>
      <c r="R1" s="341"/>
      <c r="S1" s="332"/>
    </row>
    <row r="2" spans="1:24" ht="38.15" customHeight="1">
      <c r="A2" s="13"/>
      <c r="B2" s="2" t="s">
        <v>24</v>
      </c>
      <c r="C2" s="96"/>
      <c r="D2" s="96"/>
      <c r="E2" s="96"/>
      <c r="F2" s="97"/>
      <c r="H2" s="210" t="s">
        <v>111</v>
      </c>
      <c r="I2" s="3"/>
      <c r="J2" s="49"/>
      <c r="K2" s="14"/>
      <c r="L2" s="1365"/>
      <c r="M2" s="1365"/>
      <c r="N2" s="1365"/>
      <c r="O2" s="1365"/>
      <c r="P2" s="1357"/>
      <c r="Q2" s="1359"/>
      <c r="R2" s="341"/>
      <c r="S2" s="332"/>
      <c r="V2" s="12" t="s">
        <v>863</v>
      </c>
    </row>
    <row r="3" spans="1:24" ht="3" customHeight="1">
      <c r="A3" s="98"/>
      <c r="B3" s="99"/>
      <c r="C3" s="99"/>
      <c r="D3" s="99"/>
      <c r="E3" s="99"/>
      <c r="F3" s="100"/>
      <c r="H3" s="215"/>
      <c r="I3" s="217"/>
      <c r="J3" s="218"/>
      <c r="K3" s="100"/>
      <c r="L3" s="4"/>
      <c r="M3" s="4"/>
      <c r="N3" s="4"/>
      <c r="O3" s="4"/>
      <c r="P3" s="5"/>
      <c r="Q3" s="6"/>
      <c r="R3" s="333"/>
      <c r="S3" s="333"/>
    </row>
    <row r="4" spans="1:24">
      <c r="A4" s="2"/>
      <c r="B4" s="2"/>
      <c r="C4" s="2"/>
      <c r="D4" s="2"/>
      <c r="E4" s="2"/>
      <c r="F4" s="2"/>
      <c r="H4" s="3"/>
      <c r="I4" s="3"/>
      <c r="K4" s="10"/>
      <c r="L4" s="11"/>
      <c r="M4" s="3"/>
      <c r="N4" s="11"/>
      <c r="O4" s="11"/>
      <c r="P4" s="11"/>
      <c r="Q4" s="12"/>
      <c r="R4" s="12"/>
      <c r="S4" s="12"/>
    </row>
    <row r="5" spans="1:24" ht="11.25" customHeight="1">
      <c r="A5" s="7"/>
      <c r="B5" s="8"/>
      <c r="C5" s="8"/>
      <c r="D5" s="8"/>
      <c r="E5" s="8"/>
      <c r="F5" s="9"/>
      <c r="H5" s="15" t="s">
        <v>87</v>
      </c>
      <c r="I5" s="3"/>
      <c r="K5" s="10"/>
      <c r="L5" s="11"/>
      <c r="M5" s="3"/>
      <c r="N5" s="11"/>
      <c r="O5" s="11"/>
      <c r="P5" s="11"/>
      <c r="Q5" s="12"/>
      <c r="R5" s="12"/>
      <c r="S5" s="12"/>
      <c r="V5" s="1225"/>
      <c r="W5" s="1226"/>
      <c r="X5" s="1227"/>
    </row>
    <row r="6" spans="1:24" s="19" customFormat="1" ht="11.5" customHeight="1">
      <c r="A6" s="16"/>
      <c r="B6" s="24"/>
      <c r="C6" s="17"/>
      <c r="D6" s="17"/>
      <c r="E6" s="17"/>
      <c r="F6" s="18"/>
      <c r="H6" s="203" t="s">
        <v>0</v>
      </c>
      <c r="I6" s="17"/>
      <c r="L6" s="339">
        <f>IF(E15&gt;0,E15,0)</f>
        <v>0</v>
      </c>
      <c r="M6" s="20">
        <f>IF(E15&gt;0,'HAW-Kennwerte'!C13,0)</f>
        <v>0</v>
      </c>
      <c r="N6" s="205">
        <f>IF(L6&gt;0,IF(E21="ja",'HAW-Kennwerte'!D13,1),0)</f>
        <v>0</v>
      </c>
      <c r="O6" s="22"/>
      <c r="P6" s="23">
        <f>L6*M6*N6</f>
        <v>0</v>
      </c>
      <c r="Q6" s="328">
        <f>IF(P6&gt;0,'HAW-Kennwerte'!Z9,0)</f>
        <v>0</v>
      </c>
      <c r="R6" s="328"/>
      <c r="S6" s="328"/>
      <c r="U6" s="203"/>
      <c r="V6" s="1200"/>
      <c r="W6" s="1201"/>
      <c r="X6" s="1202"/>
    </row>
    <row r="7" spans="1:24" s="19" customFormat="1" ht="11.5" customHeight="1">
      <c r="A7" s="16"/>
      <c r="B7" s="928" t="str">
        <f>HAW!B4</f>
        <v>Hochschule …</v>
      </c>
      <c r="C7" s="928"/>
      <c r="D7" s="928"/>
      <c r="E7" s="928"/>
      <c r="F7" s="18"/>
      <c r="H7" s="203" t="s">
        <v>1</v>
      </c>
      <c r="I7" s="17"/>
      <c r="L7" s="340">
        <f>IF(E15-E16&lt;0,0,IF(E23&gt;E16,0,E16))</f>
        <v>0</v>
      </c>
      <c r="M7" s="895">
        <f>IF(L7&gt;0,'HAW-Kennwerte'!I13,0)</f>
        <v>0</v>
      </c>
      <c r="N7" s="205"/>
      <c r="O7" s="896">
        <f>IFERROR(IF(L7&gt;0,((E16-E23)*'HAW-Kennwerte'!J13+E23*(E24*'HAW-Kennwerte'!K13+E25*'HAW-Kennwerte'!M13))/(E16*M7),0),"")</f>
        <v>0</v>
      </c>
      <c r="P7" s="27">
        <f>IFERROR(L7*M7*O7,"")</f>
        <v>0</v>
      </c>
      <c r="Q7" s="329">
        <f>IF(P7&gt;0,'HAW-Kennwerte'!AA13,0)</f>
        <v>0</v>
      </c>
      <c r="R7" s="329"/>
      <c r="S7" s="329"/>
      <c r="U7" s="203"/>
      <c r="V7" s="1200"/>
      <c r="W7" s="1201"/>
      <c r="X7" s="1202"/>
    </row>
    <row r="8" spans="1:24" s="19" customFormat="1" ht="11.5" customHeight="1">
      <c r="A8" s="16"/>
      <c r="B8" s="473">
        <f>HAW!B5</f>
        <v>0</v>
      </c>
      <c r="F8" s="18"/>
      <c r="H8" s="203" t="s">
        <v>86</v>
      </c>
      <c r="I8" s="17"/>
      <c r="L8" s="29"/>
      <c r="M8" s="20"/>
      <c r="N8" s="21"/>
      <c r="O8" s="22"/>
      <c r="P8" s="352"/>
      <c r="Q8" s="329"/>
      <c r="R8" s="329"/>
      <c r="S8" s="329"/>
      <c r="U8" s="203"/>
      <c r="V8" s="1228"/>
      <c r="W8" s="1229"/>
      <c r="X8" s="1230"/>
    </row>
    <row r="9" spans="1:24" s="19" customFormat="1" ht="11.5" customHeight="1">
      <c r="A9" s="16"/>
      <c r="B9" s="346" t="s">
        <v>93</v>
      </c>
      <c r="C9" s="347"/>
      <c r="D9" s="347"/>
      <c r="E9" s="347"/>
      <c r="F9" s="18"/>
      <c r="H9" s="203" t="s">
        <v>159</v>
      </c>
      <c r="I9" s="17"/>
      <c r="L9" s="339"/>
      <c r="M9" s="30"/>
      <c r="N9" s="21"/>
      <c r="O9" s="22"/>
      <c r="P9" s="52"/>
      <c r="Q9" s="329"/>
      <c r="R9" s="329"/>
      <c r="S9" s="329"/>
      <c r="U9" s="203"/>
      <c r="V9" s="1228"/>
      <c r="W9" s="1229"/>
      <c r="X9" s="1230"/>
    </row>
    <row r="10" spans="1:24" s="19" customFormat="1" ht="11.5" customHeight="1">
      <c r="A10" s="16"/>
      <c r="B10" s="346" t="s">
        <v>92</v>
      </c>
      <c r="C10" s="348"/>
      <c r="D10" s="348"/>
      <c r="E10" s="348"/>
      <c r="F10" s="18"/>
      <c r="H10" s="204" t="s">
        <v>19</v>
      </c>
      <c r="I10" s="17"/>
      <c r="L10" s="765">
        <f>IF(SUM($E$17:$E$18)&gt;0,$S$84,0)</f>
        <v>0</v>
      </c>
      <c r="M10" s="30">
        <f>IF($L$10&gt;0,'HAW-Kennwerte'!R13,0)</f>
        <v>0</v>
      </c>
      <c r="N10" s="205">
        <f>IF(L10&gt;0,E19,0)</f>
        <v>0</v>
      </c>
      <c r="O10" s="26">
        <f>IF(E84&gt;0.15,0,IFERROR((M10+M10*0.9*E84*0.4)/M10,0))</f>
        <v>0</v>
      </c>
      <c r="P10" s="27">
        <f>L10*N10*(M10*O10+IF(E86="ja",'HAW-Kennwerte'!$R$29,0))</f>
        <v>0</v>
      </c>
      <c r="Q10" s="329"/>
      <c r="R10" s="329"/>
      <c r="S10" s="329"/>
      <c r="U10" s="203"/>
      <c r="V10" s="1200"/>
      <c r="W10" s="1201"/>
      <c r="X10" s="1202"/>
    </row>
    <row r="11" spans="1:24" s="19" customFormat="1" ht="11.5" customHeight="1">
      <c r="A11" s="16"/>
      <c r="B11" s="56"/>
      <c r="C11" s="56"/>
      <c r="D11" s="56"/>
      <c r="E11" s="56"/>
      <c r="F11" s="18"/>
      <c r="H11" s="204" t="s">
        <v>91</v>
      </c>
      <c r="I11" s="17"/>
      <c r="L11" s="765">
        <f>IF(SUM($E$17:$E$18)&gt;0,SUM($E$17:$E$18),0)</f>
        <v>0</v>
      </c>
      <c r="M11" s="249">
        <f>IF($L$11&gt;0,'HAW-Kennwerte'!S12,0)</f>
        <v>0</v>
      </c>
      <c r="N11" s="205">
        <f>IF(L11&gt;0,E19,0)</f>
        <v>0</v>
      </c>
      <c r="O11" s="22"/>
      <c r="P11" s="31">
        <f>L11*M11*N11</f>
        <v>0</v>
      </c>
      <c r="Q11" s="329"/>
      <c r="R11" s="329"/>
      <c r="S11" s="329"/>
      <c r="U11" s="203"/>
      <c r="V11" s="1200"/>
      <c r="W11" s="1201"/>
      <c r="X11" s="1202"/>
    </row>
    <row r="12" spans="1:24" s="19" customFormat="1" ht="11.5" customHeight="1">
      <c r="A12" s="16"/>
      <c r="B12" s="24" t="s">
        <v>8</v>
      </c>
      <c r="F12" s="18"/>
      <c r="H12" s="204" t="s">
        <v>109</v>
      </c>
      <c r="I12" s="17"/>
      <c r="L12" s="766">
        <f>IF($E$17&gt;0,$E$17,0)</f>
        <v>0</v>
      </c>
      <c r="M12" s="30">
        <f>IF(L12&gt;0,'HAW-Kennwerte'!U13,0)</f>
        <v>0</v>
      </c>
      <c r="N12" s="205">
        <f>IF(L12&gt;0,IF(E19=0,0,IF(E19&lt;0.7,0.7,E19)),0)</f>
        <v>0</v>
      </c>
      <c r="O12" s="22"/>
      <c r="P12" s="31">
        <f>L12*M12*N12</f>
        <v>0</v>
      </c>
      <c r="Q12" s="329">
        <f>IF(P12&gt;0,'HAW-Kennwerte'!AA13,0)</f>
        <v>0</v>
      </c>
      <c r="R12" s="329"/>
      <c r="S12" s="329"/>
      <c r="U12" s="203"/>
      <c r="V12" s="1200"/>
      <c r="W12" s="1201"/>
      <c r="X12" s="1202"/>
    </row>
    <row r="13" spans="1:24" s="19" customFormat="1" ht="11.5" customHeight="1">
      <c r="A13" s="16"/>
      <c r="B13" s="56" t="s">
        <v>5</v>
      </c>
      <c r="F13" s="18"/>
      <c r="H13" s="204" t="s">
        <v>110</v>
      </c>
      <c r="I13" s="17"/>
      <c r="L13" s="766">
        <f>IF($E$18&gt;0,$E$18,0)</f>
        <v>0</v>
      </c>
      <c r="M13" s="30">
        <f>IF(L13&gt;0,'HAW-Kennwerte'!X13,0)</f>
        <v>0</v>
      </c>
      <c r="N13" s="205">
        <f>IF(L13&gt;0,IF(E19=0,0,IF(E19&lt;0.7,0.7,E19)),0)</f>
        <v>0</v>
      </c>
      <c r="O13" s="22"/>
      <c r="P13" s="31">
        <f>L13*M13*N13</f>
        <v>0</v>
      </c>
      <c r="Q13" s="329">
        <f>IF(P13&gt;0,'HAW-Kennwerte'!AA13,0)</f>
        <v>0</v>
      </c>
      <c r="R13" s="329"/>
      <c r="S13" s="329"/>
      <c r="U13" s="203"/>
      <c r="V13" s="1200"/>
      <c r="W13" s="1201"/>
      <c r="X13" s="1202"/>
    </row>
    <row r="14" spans="1:24" s="19" customFormat="1" ht="11.5" customHeight="1">
      <c r="A14" s="16"/>
      <c r="C14" s="56"/>
      <c r="F14" s="18"/>
      <c r="H14" s="203" t="s">
        <v>20</v>
      </c>
      <c r="I14" s="17"/>
      <c r="K14" s="112"/>
      <c r="L14" s="32"/>
      <c r="M14" s="17"/>
      <c r="N14" s="32"/>
      <c r="O14" s="33"/>
      <c r="P14" s="34">
        <f>SUMPRODUCT(P6:P13,Q6:Q13)</f>
        <v>0</v>
      </c>
      <c r="Q14" s="330"/>
      <c r="R14" s="330"/>
      <c r="S14" s="330"/>
      <c r="U14" s="203"/>
      <c r="V14" s="1200"/>
      <c r="W14" s="1201"/>
      <c r="X14" s="1202"/>
    </row>
    <row r="15" spans="1:24" s="19" customFormat="1" ht="10.5">
      <c r="A15" s="16"/>
      <c r="B15" s="17"/>
      <c r="C15" s="17"/>
      <c r="D15" s="246" t="s">
        <v>73</v>
      </c>
      <c r="E15" s="349"/>
      <c r="F15" s="18"/>
      <c r="H15" s="17"/>
      <c r="I15" s="17"/>
      <c r="K15" s="35"/>
      <c r="L15" s="36"/>
      <c r="M15" s="17"/>
      <c r="N15" s="35"/>
      <c r="O15" s="35"/>
      <c r="P15" s="38">
        <f>SUM(P6:P14)</f>
        <v>0</v>
      </c>
      <c r="Q15" s="330"/>
      <c r="R15" s="330"/>
      <c r="S15" s="330"/>
      <c r="U15" s="203"/>
      <c r="V15" s="1228"/>
      <c r="W15" s="1229"/>
      <c r="X15" s="1230"/>
    </row>
    <row r="16" spans="1:24" s="19" customFormat="1" ht="11.25" customHeight="1">
      <c r="A16" s="16"/>
      <c r="B16" s="17"/>
      <c r="D16" s="223" t="s">
        <v>75</v>
      </c>
      <c r="E16" s="349"/>
      <c r="F16" s="18"/>
      <c r="H16" s="17"/>
      <c r="I16" s="17"/>
      <c r="K16" s="35"/>
      <c r="L16" s="36"/>
      <c r="M16" s="17"/>
      <c r="N16" s="35"/>
      <c r="O16" s="35"/>
      <c r="Q16" s="330"/>
      <c r="R16" s="330"/>
      <c r="S16" s="330"/>
      <c r="U16" s="203"/>
      <c r="V16" s="1228"/>
      <c r="W16" s="1229"/>
      <c r="X16" s="1230"/>
    </row>
    <row r="17" spans="1:24" s="19" customFormat="1">
      <c r="A17" s="16"/>
      <c r="B17" s="17"/>
      <c r="C17" s="17"/>
      <c r="D17" s="223" t="s">
        <v>185</v>
      </c>
      <c r="E17" s="764">
        <f>L84</f>
        <v>0</v>
      </c>
      <c r="F17" s="18"/>
      <c r="H17" s="24" t="s">
        <v>12</v>
      </c>
      <c r="I17" s="17"/>
      <c r="K17" s="35"/>
      <c r="L17" s="36"/>
      <c r="M17" s="17"/>
      <c r="N17" s="35"/>
      <c r="O17" s="35"/>
      <c r="P17" s="37"/>
      <c r="Q17" s="330"/>
      <c r="R17" s="330"/>
      <c r="S17" s="330"/>
      <c r="U17" s="203"/>
      <c r="V17" s="1228"/>
      <c r="W17" s="1229"/>
      <c r="X17" s="1230"/>
    </row>
    <row r="18" spans="1:24" s="19" customFormat="1" ht="11.5" customHeight="1">
      <c r="A18" s="16"/>
      <c r="B18" s="17"/>
      <c r="C18" s="17"/>
      <c r="D18" s="223" t="s">
        <v>186</v>
      </c>
      <c r="E18" s="764">
        <f>Q84</f>
        <v>0</v>
      </c>
      <c r="F18" s="18"/>
      <c r="H18" s="203" t="s">
        <v>0</v>
      </c>
      <c r="I18" s="17"/>
      <c r="L18" s="39">
        <f>E20/100</f>
        <v>0</v>
      </c>
      <c r="M18" s="30">
        <f>IF(N46=0,IF(E20&gt;0,'HAW-Kennwerte'!F13,0),'HAW-Kennwerte'!E13*81600/N46)</f>
        <v>0</v>
      </c>
      <c r="N18" s="205">
        <f>IF(L18&gt;0,IF(E21="ja",'HAW-Kennwerte'!G13,1),0)</f>
        <v>0</v>
      </c>
      <c r="O18" s="205"/>
      <c r="P18" s="23">
        <f>L18*M18*N18</f>
        <v>0</v>
      </c>
      <c r="Q18" s="328">
        <f>IF(P18&gt;0,Q$6,0)</f>
        <v>0</v>
      </c>
      <c r="R18" s="328"/>
      <c r="S18" s="328"/>
      <c r="U18" s="203"/>
      <c r="V18" s="1200"/>
      <c r="W18" s="1201"/>
      <c r="X18" s="1202"/>
    </row>
    <row r="19" spans="1:24" s="19" customFormat="1" ht="11.5" customHeight="1">
      <c r="A19" s="16"/>
      <c r="B19" s="17"/>
      <c r="C19" s="17"/>
      <c r="D19" s="53" t="s">
        <v>27</v>
      </c>
      <c r="E19" s="688">
        <f>S88</f>
        <v>0</v>
      </c>
      <c r="F19" s="18"/>
      <c r="H19" s="203" t="s">
        <v>1</v>
      </c>
      <c r="I19" s="17"/>
      <c r="L19" s="39">
        <f>IF(M19=0,0,L18)</f>
        <v>0</v>
      </c>
      <c r="M19" s="30">
        <f>IF(N46=0,IF(E20=0,0,IF(P7=0,0,'HAW-Kennwerte'!P13)),'HAW-Kennwerte'!O13*81600/N46)</f>
        <v>0</v>
      </c>
      <c r="N19" s="25"/>
      <c r="O19" s="25"/>
      <c r="P19" s="27">
        <f>L19*M19</f>
        <v>0</v>
      </c>
      <c r="Q19" s="329">
        <f>IF(P19&gt;0,Q$7,0)</f>
        <v>0</v>
      </c>
      <c r="R19" s="329"/>
      <c r="S19" s="329"/>
      <c r="U19" s="203"/>
      <c r="V19" s="1200"/>
      <c r="W19" s="1201"/>
      <c r="X19" s="1202"/>
    </row>
    <row r="20" spans="1:24" s="19" customFormat="1" ht="11.5" customHeight="1">
      <c r="A20" s="16"/>
      <c r="B20" s="17"/>
      <c r="C20" s="17"/>
      <c r="D20" s="53" t="s">
        <v>28</v>
      </c>
      <c r="E20" s="55">
        <f>H47</f>
        <v>0</v>
      </c>
      <c r="F20" s="18"/>
      <c r="H20" s="203" t="s">
        <v>159</v>
      </c>
      <c r="I20" s="17"/>
      <c r="L20" s="39"/>
      <c r="M20" s="30"/>
      <c r="N20" s="21"/>
      <c r="O20" s="25"/>
      <c r="P20" s="52"/>
      <c r="Q20" s="329"/>
      <c r="R20" s="329"/>
      <c r="S20" s="329"/>
      <c r="U20" s="203"/>
      <c r="V20" s="1228"/>
      <c r="W20" s="1229"/>
      <c r="X20" s="1230"/>
    </row>
    <row r="21" spans="1:24" s="19" customFormat="1" ht="11.5" customHeight="1">
      <c r="A21" s="16"/>
      <c r="B21" s="17"/>
      <c r="C21" s="17"/>
      <c r="D21" s="223" t="s">
        <v>247</v>
      </c>
      <c r="E21" s="793" t="s">
        <v>248</v>
      </c>
      <c r="F21" s="18"/>
      <c r="H21" s="203" t="s">
        <v>20</v>
      </c>
      <c r="I21" s="17"/>
      <c r="P21" s="34">
        <f>SUMPRODUCT(P18:P20,Q18:Q20)</f>
        <v>0</v>
      </c>
      <c r="Q21" s="329"/>
      <c r="R21" s="329"/>
      <c r="S21" s="329"/>
      <c r="U21" s="203"/>
      <c r="V21" s="1200"/>
      <c r="W21" s="1201"/>
      <c r="X21" s="1202"/>
    </row>
    <row r="22" spans="1:24" s="19" customFormat="1" ht="11.5" customHeight="1">
      <c r="A22" s="16"/>
      <c r="B22" s="17"/>
      <c r="C22" s="2"/>
      <c r="F22" s="18"/>
      <c r="I22" s="17"/>
      <c r="K22" s="17"/>
      <c r="L22" s="213"/>
      <c r="M22" s="17"/>
      <c r="N22" s="112"/>
      <c r="O22" s="212"/>
      <c r="P22" s="38">
        <f>SUM(P18:P21)</f>
        <v>0</v>
      </c>
      <c r="Q22" s="28"/>
      <c r="R22" s="28"/>
      <c r="S22" s="28"/>
      <c r="U22" s="203"/>
      <c r="V22" s="1228"/>
      <c r="W22" s="1229"/>
      <c r="X22" s="1230"/>
    </row>
    <row r="23" spans="1:24" s="19" customFormat="1" ht="11.5" customHeight="1">
      <c r="A23" s="16"/>
      <c r="B23" s="17"/>
      <c r="C23" s="17"/>
      <c r="D23" s="223" t="s">
        <v>127</v>
      </c>
      <c r="E23" s="349">
        <f>P103</f>
        <v>0</v>
      </c>
      <c r="F23" s="18"/>
      <c r="I23" s="17"/>
      <c r="J23" s="112"/>
      <c r="K23" s="17"/>
      <c r="L23" s="44"/>
      <c r="M23" s="17"/>
      <c r="N23" s="112"/>
      <c r="O23" s="212"/>
      <c r="Q23" s="1185"/>
      <c r="R23" s="40"/>
      <c r="S23" s="40"/>
      <c r="U23" s="203"/>
      <c r="V23" s="1228"/>
      <c r="W23" s="1229"/>
      <c r="X23" s="1230"/>
    </row>
    <row r="24" spans="1:24" ht="12.65" customHeight="1">
      <c r="A24" s="13"/>
      <c r="B24" s="2"/>
      <c r="C24" s="17"/>
      <c r="D24" s="53" t="s">
        <v>13</v>
      </c>
      <c r="E24" s="350" t="str">
        <f>P104</f>
        <v/>
      </c>
      <c r="F24" s="14"/>
      <c r="I24" s="24" t="s">
        <v>15</v>
      </c>
      <c r="K24" s="17"/>
      <c r="L24" s="41"/>
      <c r="M24" s="2"/>
      <c r="P24" s="43"/>
      <c r="Q24" s="1185" t="s">
        <v>789</v>
      </c>
      <c r="R24" s="12"/>
      <c r="S24" s="12"/>
      <c r="V24" s="1231"/>
      <c r="W24" s="1232"/>
      <c r="X24" s="1174"/>
    </row>
    <row r="25" spans="1:24" ht="11.15" customHeight="1">
      <c r="A25" s="13"/>
      <c r="B25" s="2"/>
      <c r="D25" s="53" t="s">
        <v>14</v>
      </c>
      <c r="E25" s="57">
        <f>IF(E23&gt;0,IF(E24="",0,1-E24),0)</f>
        <v>0</v>
      </c>
      <c r="F25" s="14"/>
      <c r="I25" s="1167" t="s">
        <v>293</v>
      </c>
      <c r="J25" s="359"/>
      <c r="K25" s="359"/>
      <c r="L25" s="360"/>
      <c r="M25" s="361"/>
      <c r="N25" s="362"/>
      <c r="P25" s="351"/>
      <c r="Q25" s="718"/>
      <c r="R25" s="788"/>
      <c r="S25" s="788"/>
      <c r="V25" s="1231"/>
      <c r="W25" s="1232"/>
      <c r="X25" s="1174"/>
    </row>
    <row r="26" spans="1:24">
      <c r="A26" s="13"/>
      <c r="B26" s="2"/>
      <c r="C26" s="2"/>
      <c r="D26" s="2"/>
      <c r="E26" s="2"/>
      <c r="F26" s="14"/>
      <c r="I26" s="1168"/>
      <c r="J26" s="363"/>
      <c r="K26" s="363"/>
      <c r="L26" s="364"/>
      <c r="M26" s="363"/>
      <c r="N26" s="365"/>
      <c r="P26" s="352"/>
      <c r="Q26" s="718"/>
      <c r="R26" s="788"/>
      <c r="S26" s="788"/>
      <c r="V26" s="1231"/>
      <c r="W26" s="1232"/>
      <c r="X26" s="1174"/>
    </row>
    <row r="27" spans="1:24" s="19" customFormat="1" ht="11.5" customHeight="1">
      <c r="A27" s="16"/>
      <c r="B27" s="17"/>
      <c r="C27" s="53" t="s">
        <v>29</v>
      </c>
      <c r="D27" s="1360">
        <f>HAW!D24</f>
        <v>0</v>
      </c>
      <c r="E27" s="1361"/>
      <c r="F27" s="18"/>
      <c r="I27" s="1168"/>
      <c r="J27" s="366"/>
      <c r="K27" s="366"/>
      <c r="L27" s="366"/>
      <c r="M27" s="366"/>
      <c r="N27" s="367"/>
      <c r="O27" s="35"/>
      <c r="P27" s="352"/>
      <c r="Q27" s="719"/>
      <c r="R27" s="789"/>
      <c r="S27" s="789"/>
      <c r="U27" s="203"/>
      <c r="V27" s="1228"/>
      <c r="W27" s="1229"/>
      <c r="X27" s="1230"/>
    </row>
    <row r="28" spans="1:24" s="19" customFormat="1" ht="11.5" customHeight="1">
      <c r="A28" s="16"/>
      <c r="B28" s="17"/>
      <c r="C28" s="53" t="s">
        <v>30</v>
      </c>
      <c r="D28" s="1362">
        <f>HAW!D25</f>
        <v>0</v>
      </c>
      <c r="E28" s="1363"/>
      <c r="F28" s="18"/>
      <c r="I28" s="1168"/>
      <c r="J28" s="366"/>
      <c r="K28" s="366"/>
      <c r="L28" s="366"/>
      <c r="M28" s="366"/>
      <c r="N28" s="366"/>
      <c r="P28" s="352"/>
      <c r="Q28" s="719"/>
      <c r="R28" s="789"/>
      <c r="S28" s="789"/>
      <c r="U28" s="203"/>
      <c r="V28" s="1228"/>
      <c r="W28" s="1229"/>
      <c r="X28" s="1230"/>
    </row>
    <row r="29" spans="1:24" s="19" customFormat="1" ht="11.5" customHeight="1">
      <c r="A29" s="102"/>
      <c r="B29" s="103"/>
      <c r="C29" s="103"/>
      <c r="D29" s="103"/>
      <c r="E29" s="103"/>
      <c r="F29" s="104"/>
      <c r="I29" s="1168"/>
      <c r="J29" s="366"/>
      <c r="K29" s="366"/>
      <c r="L29" s="366"/>
      <c r="M29" s="366"/>
      <c r="N29" s="366"/>
      <c r="P29" s="353"/>
      <c r="Q29" s="719"/>
      <c r="R29" s="789"/>
      <c r="S29" s="789"/>
      <c r="U29" s="203"/>
      <c r="V29" s="1228"/>
      <c r="W29" s="1229"/>
      <c r="X29" s="1230"/>
    </row>
    <row r="30" spans="1:24" s="19" customFormat="1" ht="11.25" customHeight="1">
      <c r="A30" s="17"/>
      <c r="I30" s="17"/>
      <c r="P30" s="38">
        <f>SUM(P25:P29)</f>
        <v>0</v>
      </c>
      <c r="Q30" s="40"/>
      <c r="R30" s="40"/>
      <c r="S30" s="40"/>
      <c r="U30" s="203"/>
      <c r="V30" s="1228"/>
      <c r="W30" s="1229"/>
      <c r="X30" s="1230"/>
    </row>
    <row r="31" spans="1:24" ht="11.25" customHeight="1">
      <c r="A31" s="2"/>
      <c r="B31" s="2"/>
      <c r="C31" s="2"/>
      <c r="H31" s="106"/>
      <c r="I31" s="224"/>
      <c r="J31" s="225"/>
      <c r="K31" s="224"/>
      <c r="L31" s="226"/>
      <c r="M31" s="225"/>
      <c r="N31" s="107"/>
      <c r="O31" s="107"/>
      <c r="P31" s="227"/>
      <c r="Q31" s="50"/>
      <c r="R31" s="50"/>
      <c r="S31" s="40"/>
      <c r="V31" s="1231"/>
      <c r="W31" s="1232"/>
      <c r="X31" s="1174"/>
    </row>
    <row r="32" spans="1:24" ht="11.25" customHeight="1">
      <c r="A32" s="2"/>
      <c r="B32" s="2"/>
      <c r="C32" s="2"/>
      <c r="I32" s="47"/>
      <c r="J32" s="24"/>
      <c r="K32" s="47"/>
      <c r="L32" s="48"/>
      <c r="M32" s="24"/>
      <c r="N32" s="49"/>
      <c r="O32" s="49"/>
      <c r="P32" s="50"/>
      <c r="Q32" s="50"/>
      <c r="R32" s="50"/>
      <c r="S32" s="50"/>
      <c r="V32" s="1231"/>
      <c r="W32" s="1232"/>
      <c r="X32" s="1174"/>
    </row>
    <row r="33" spans="1:24" ht="50.15" customHeight="1" thickBot="1">
      <c r="A33" s="2"/>
      <c r="B33" s="2"/>
      <c r="C33" s="2"/>
      <c r="D33" s="2"/>
      <c r="F33" s="219" t="s">
        <v>16</v>
      </c>
      <c r="G33" s="2"/>
      <c r="H33" s="220" t="s">
        <v>0</v>
      </c>
      <c r="I33" s="220" t="s">
        <v>1</v>
      </c>
      <c r="J33" s="221" t="s">
        <v>197</v>
      </c>
      <c r="K33" s="221" t="s">
        <v>159</v>
      </c>
      <c r="L33" s="221" t="s">
        <v>198</v>
      </c>
      <c r="M33" s="221" t="s">
        <v>22</v>
      </c>
      <c r="N33" s="220" t="s">
        <v>20</v>
      </c>
      <c r="O33" s="221" t="s">
        <v>199</v>
      </c>
      <c r="T33" s="77"/>
      <c r="V33" s="1231"/>
      <c r="W33" s="1232"/>
      <c r="X33" s="1174"/>
    </row>
    <row r="34" spans="1:24" ht="17.149999999999999" customHeight="1" thickBot="1">
      <c r="B34" s="2"/>
      <c r="C34" s="2"/>
      <c r="D34" s="2"/>
      <c r="G34" s="2"/>
      <c r="H34" s="222">
        <f>P6+P18+SUMIF(Q25:Q29,H33,P25:P29)</f>
        <v>0</v>
      </c>
      <c r="I34" s="222">
        <f>IFERROR(P7+P19+SUMIF(Q25:Q29,I33,P25:P29),"")</f>
        <v>0</v>
      </c>
      <c r="J34" s="222">
        <f>P8+SUMIF(Q25:Q29,J33,P25:P29)</f>
        <v>0</v>
      </c>
      <c r="K34" s="222">
        <f>SUMIF(Q25:Q29,K33,P25:P29)</f>
        <v>0</v>
      </c>
      <c r="L34" s="222">
        <f>P10+P11+SUMIF(Q25:Q29,L33,P25:P29)</f>
        <v>0</v>
      </c>
      <c r="M34" s="222">
        <f>P12+P13+SUMIF(Q25:Q29,M33,P25:P29)</f>
        <v>0</v>
      </c>
      <c r="N34" s="222">
        <f>P14+P21+SUMIF(Q25:Q29,N33,P25:P29)</f>
        <v>0</v>
      </c>
      <c r="O34" s="222">
        <f>SUMIF(Q25:Q29,O33,P25:P29)</f>
        <v>0</v>
      </c>
      <c r="P34" s="331">
        <f>SUM(H34:O34)</f>
        <v>0</v>
      </c>
      <c r="Q34" s="101"/>
      <c r="R34" s="101"/>
      <c r="S34" s="101"/>
      <c r="T34" s="77"/>
      <c r="V34" s="1231"/>
      <c r="W34" s="1232"/>
      <c r="X34" s="1174"/>
    </row>
    <row r="35" spans="1:24">
      <c r="A35" s="106"/>
      <c r="B35" s="105"/>
      <c r="C35" s="46"/>
      <c r="D35" s="46"/>
      <c r="E35" s="46"/>
      <c r="F35" s="46"/>
      <c r="G35" s="106"/>
      <c r="H35" s="106"/>
      <c r="I35" s="106"/>
      <c r="J35" s="107"/>
      <c r="K35" s="106"/>
      <c r="L35" s="107"/>
      <c r="M35" s="106"/>
      <c r="N35" s="107"/>
      <c r="O35" s="107"/>
      <c r="P35" s="107"/>
      <c r="Q35" s="107"/>
      <c r="R35" s="49"/>
      <c r="S35" s="49"/>
      <c r="T35" s="77"/>
      <c r="V35" s="1231"/>
      <c r="W35" s="1232"/>
      <c r="X35" s="1174"/>
    </row>
    <row r="36" spans="1:24">
      <c r="S36" s="49"/>
      <c r="T36" s="77"/>
      <c r="V36" s="1231"/>
      <c r="W36" s="1232"/>
      <c r="X36" s="1174"/>
    </row>
    <row r="37" spans="1:24">
      <c r="A37" s="7"/>
      <c r="B37" s="8"/>
      <c r="C37" s="8"/>
      <c r="D37" s="8"/>
      <c r="E37" s="8"/>
      <c r="F37" s="8"/>
      <c r="G37" s="8"/>
      <c r="H37" s="8"/>
      <c r="I37" s="8"/>
      <c r="J37" s="8"/>
      <c r="K37" s="8"/>
      <c r="L37" s="8"/>
      <c r="M37" s="8"/>
      <c r="N37" s="108"/>
      <c r="O37" s="108"/>
      <c r="P37" s="109"/>
      <c r="S37" s="49"/>
      <c r="T37" s="77"/>
      <c r="V37" s="1231"/>
      <c r="W37" s="1232"/>
      <c r="X37" s="1174"/>
    </row>
    <row r="38" spans="1:24" ht="10.5">
      <c r="A38" s="13"/>
      <c r="E38" s="110" t="s">
        <v>70</v>
      </c>
      <c r="F38" s="2"/>
      <c r="G38" s="2"/>
      <c r="H38" s="2"/>
      <c r="I38" s="2"/>
      <c r="J38" s="2"/>
      <c r="K38" s="238" t="s">
        <v>69</v>
      </c>
      <c r="M38" s="2"/>
      <c r="N38" s="49"/>
      <c r="O38" s="49"/>
      <c r="P38" s="111"/>
      <c r="S38" s="49"/>
      <c r="T38" s="77"/>
      <c r="V38" s="1231"/>
      <c r="W38" s="1232"/>
      <c r="X38" s="1174"/>
    </row>
    <row r="39" spans="1:24" ht="2.5" customHeight="1">
      <c r="A39" s="13"/>
      <c r="E39" s="110"/>
      <c r="F39" s="2"/>
      <c r="G39" s="2"/>
      <c r="H39" s="46"/>
      <c r="I39" s="2"/>
      <c r="J39" s="2"/>
      <c r="K39" s="2"/>
      <c r="L39" s="2"/>
      <c r="M39" s="2"/>
      <c r="N39" s="49"/>
      <c r="O39" s="49"/>
      <c r="P39" s="111"/>
      <c r="S39" s="49"/>
      <c r="T39" s="77"/>
      <c r="V39" s="1231"/>
      <c r="W39" s="1232"/>
      <c r="X39" s="1174"/>
    </row>
    <row r="40" spans="1:24" ht="11.15" customHeight="1">
      <c r="A40" s="13"/>
      <c r="E40" s="207">
        <f>IF($E$44&gt;2023,$E$44-4,"")</f>
        <v>2021</v>
      </c>
      <c r="H40" s="354"/>
      <c r="I40" s="2" t="s">
        <v>25</v>
      </c>
      <c r="J40" s="2"/>
      <c r="K40" s="2"/>
      <c r="L40" s="49"/>
      <c r="M40" s="2"/>
      <c r="N40" s="49"/>
      <c r="O40" s="49"/>
      <c r="P40" s="111"/>
      <c r="S40" s="49"/>
      <c r="T40" s="77"/>
      <c r="V40" s="1231"/>
      <c r="W40" s="1232"/>
      <c r="X40" s="1174"/>
    </row>
    <row r="41" spans="1:24" ht="11.15" customHeight="1">
      <c r="A41" s="13"/>
      <c r="E41" s="207">
        <f>IF($E$44&gt;2023,$E$44-3,"")</f>
        <v>2022</v>
      </c>
      <c r="H41" s="354"/>
      <c r="I41" s="228" t="s">
        <v>25</v>
      </c>
      <c r="J41" s="2"/>
      <c r="K41" s="2"/>
      <c r="L41" s="49"/>
      <c r="M41" s="2"/>
      <c r="N41" s="49"/>
      <c r="O41" s="49"/>
      <c r="P41" s="111"/>
      <c r="S41" s="49"/>
      <c r="T41" s="77"/>
      <c r="V41" s="1231"/>
      <c r="W41" s="1232"/>
      <c r="X41" s="1174"/>
    </row>
    <row r="42" spans="1:24" ht="11.15" customHeight="1">
      <c r="A42" s="13"/>
      <c r="E42" s="207">
        <f>IF($E$44&gt;2023,$E$44-2,"")</f>
        <v>2023</v>
      </c>
      <c r="H42" s="354"/>
      <c r="I42" s="228" t="s">
        <v>25</v>
      </c>
      <c r="J42" s="2"/>
      <c r="K42" s="2"/>
      <c r="L42" s="49"/>
      <c r="M42" s="2"/>
      <c r="N42" s="49"/>
      <c r="O42" s="49"/>
      <c r="P42" s="111"/>
      <c r="S42" s="49"/>
      <c r="T42" s="77"/>
      <c r="V42" s="1231"/>
      <c r="W42" s="1232"/>
      <c r="X42" s="1174"/>
    </row>
    <row r="43" spans="1:24" ht="11.15" customHeight="1">
      <c r="A43" s="13"/>
      <c r="E43" s="207">
        <f>IF($E$44&gt;2023,$E$44-1,"")</f>
        <v>2024</v>
      </c>
      <c r="H43" s="354"/>
      <c r="I43" s="228" t="s">
        <v>25</v>
      </c>
      <c r="J43" s="2"/>
      <c r="M43" s="207" t="s">
        <v>56</v>
      </c>
      <c r="N43" s="247">
        <f>'HAW-Kennwerte'!E29</f>
        <v>81600</v>
      </c>
      <c r="O43" s="49"/>
      <c r="P43" s="111"/>
      <c r="S43" s="49"/>
      <c r="T43" s="77"/>
      <c r="V43" s="1231"/>
      <c r="W43" s="1232"/>
      <c r="X43" s="1174"/>
    </row>
    <row r="44" spans="1:24" ht="11.15" customHeight="1">
      <c r="A44" s="13"/>
      <c r="D44" s="236" t="s">
        <v>184</v>
      </c>
      <c r="E44" s="711">
        <v>2025</v>
      </c>
      <c r="H44" s="354"/>
      <c r="I44" s="228" t="s">
        <v>25</v>
      </c>
      <c r="J44" s="49"/>
      <c r="M44" s="207" t="s">
        <v>119</v>
      </c>
      <c r="N44" s="475"/>
      <c r="O44" s="49"/>
      <c r="P44" s="111"/>
      <c r="S44" s="49"/>
      <c r="T44" s="77"/>
      <c r="V44" s="1231"/>
      <c r="W44" s="1232"/>
      <c r="X44" s="1174"/>
    </row>
    <row r="45" spans="1:24" ht="2.5" customHeight="1">
      <c r="A45" s="13"/>
      <c r="E45" s="2"/>
      <c r="F45" s="2"/>
      <c r="H45" s="2"/>
      <c r="I45" s="2"/>
      <c r="J45" s="49"/>
      <c r="M45" s="2"/>
      <c r="N45" s="2"/>
      <c r="O45" s="49"/>
      <c r="P45" s="111"/>
      <c r="S45" s="49"/>
      <c r="T45" s="77"/>
      <c r="V45" s="1231"/>
      <c r="W45" s="1232"/>
      <c r="X45" s="1174"/>
    </row>
    <row r="46" spans="1:24">
      <c r="A46" s="13"/>
      <c r="E46" s="2"/>
      <c r="F46" s="2"/>
      <c r="G46" s="116" t="s">
        <v>33</v>
      </c>
      <c r="H46" s="354"/>
      <c r="I46" s="2"/>
      <c r="J46" s="49"/>
      <c r="M46" s="116" t="s">
        <v>33</v>
      </c>
      <c r="N46" s="354"/>
      <c r="O46" s="49"/>
      <c r="P46" s="111"/>
      <c r="S46" s="49"/>
      <c r="T46" s="77"/>
      <c r="V46" s="1231"/>
      <c r="W46" s="1232"/>
      <c r="X46" s="1174"/>
    </row>
    <row r="47" spans="1:24" ht="12" customHeight="1">
      <c r="A47" s="13"/>
      <c r="E47" s="2"/>
      <c r="F47" s="2"/>
      <c r="G47" s="2"/>
      <c r="H47" s="54">
        <f>IF(H46=0,(H44*1.02*5+H43*1.04*4+H42*1.06*3+H41*1.08*2+H40*1.1)/15,H46)</f>
        <v>0</v>
      </c>
      <c r="I47" s="2"/>
      <c r="J47" s="49"/>
      <c r="M47" s="2"/>
      <c r="N47" s="54">
        <f>IF(N46&gt;0,N46,'HAW-Kennwerte'!E31)</f>
        <v>81600</v>
      </c>
      <c r="O47" s="49"/>
      <c r="P47" s="111"/>
      <c r="S47" s="49"/>
      <c r="T47" s="77"/>
      <c r="V47" s="1200"/>
      <c r="W47" s="1201"/>
      <c r="X47" s="1202"/>
    </row>
    <row r="48" spans="1:24">
      <c r="A48" s="45"/>
      <c r="B48" s="46"/>
      <c r="C48" s="46"/>
      <c r="D48" s="46"/>
      <c r="E48" s="46"/>
      <c r="F48" s="46"/>
      <c r="G48" s="46"/>
      <c r="H48" s="46"/>
      <c r="I48" s="46"/>
      <c r="J48" s="119"/>
      <c r="K48" s="46"/>
      <c r="L48" s="119"/>
      <c r="M48" s="46"/>
      <c r="N48" s="119"/>
      <c r="O48" s="119"/>
      <c r="P48" s="120"/>
      <c r="S48" s="49"/>
      <c r="T48" s="77"/>
      <c r="V48" s="1231"/>
      <c r="W48" s="1232"/>
      <c r="X48" s="1174"/>
    </row>
    <row r="49" spans="1:24" ht="11.25" customHeight="1">
      <c r="B49" s="117" t="s">
        <v>34</v>
      </c>
      <c r="S49" s="49"/>
      <c r="T49" s="2"/>
      <c r="V49" s="1231"/>
      <c r="W49" s="1232"/>
      <c r="X49" s="1174"/>
    </row>
    <row r="50" spans="1:24">
      <c r="A50" s="2"/>
      <c r="B50" s="106"/>
      <c r="C50" s="209"/>
      <c r="D50" s="106"/>
      <c r="E50" s="106"/>
      <c r="F50" s="106"/>
      <c r="G50" s="106"/>
      <c r="H50" s="106"/>
      <c r="I50" s="106"/>
      <c r="J50" s="106"/>
      <c r="K50" s="107"/>
      <c r="L50" s="106"/>
      <c r="M50" s="107"/>
      <c r="N50" s="106"/>
      <c r="O50" s="107"/>
      <c r="P50" s="107"/>
      <c r="Q50" s="107"/>
      <c r="R50" s="49"/>
      <c r="S50" s="49"/>
      <c r="T50" s="49"/>
      <c r="V50" s="1231"/>
      <c r="W50" s="1232"/>
      <c r="X50" s="1174"/>
    </row>
    <row r="51" spans="1:24">
      <c r="A51" s="2"/>
      <c r="J51" s="1"/>
      <c r="K51" s="42"/>
      <c r="L51" s="1"/>
      <c r="M51" s="42"/>
      <c r="N51" s="1"/>
      <c r="Q51" s="201" t="str">
        <f>HAW!B28</f>
        <v>Kennwertverfahren NRW für HAW; HIS-Institut für Hochschulentwicklung e.V. (24.04.2026)</v>
      </c>
      <c r="R51" s="250"/>
      <c r="S51" s="2"/>
      <c r="T51" s="2"/>
      <c r="V51" s="1231"/>
      <c r="W51" s="1232"/>
      <c r="X51" s="1174"/>
    </row>
    <row r="52" spans="1:24">
      <c r="A52" s="2"/>
      <c r="T52" s="121"/>
      <c r="V52" s="1231"/>
      <c r="W52" s="1232"/>
      <c r="X52" s="1174"/>
    </row>
    <row r="53" spans="1:24">
      <c r="A53" s="2"/>
      <c r="T53" s="121"/>
      <c r="V53" s="1231"/>
      <c r="W53" s="1232"/>
      <c r="X53" s="1174"/>
    </row>
    <row r="54" spans="1:24" ht="10.5">
      <c r="A54" s="2"/>
      <c r="B54" s="368" t="str">
        <f>IF(B8=0,B7,CONCATENATE(B7,B8))</f>
        <v>Hochschule …</v>
      </c>
      <c r="C54" s="369"/>
      <c r="D54" s="369"/>
      <c r="E54" s="369"/>
      <c r="F54" s="369"/>
      <c r="G54" s="369"/>
      <c r="H54" s="369"/>
      <c r="I54" s="369"/>
      <c r="J54" s="370"/>
      <c r="K54" s="369"/>
      <c r="L54" s="370"/>
      <c r="M54" s="369"/>
      <c r="N54" s="370"/>
      <c r="O54" s="370"/>
      <c r="P54" s="370"/>
      <c r="Q54" s="370"/>
      <c r="R54" s="370"/>
      <c r="S54" s="370"/>
      <c r="T54" s="121"/>
      <c r="V54" s="1231"/>
      <c r="W54" s="1232"/>
      <c r="X54" s="1174"/>
    </row>
    <row r="55" spans="1:24">
      <c r="A55" s="2"/>
      <c r="B55" s="369" t="str">
        <f>B9</f>
        <v>[Fakultät/Fachbereich]</v>
      </c>
      <c r="C55" s="369"/>
      <c r="D55" s="369"/>
      <c r="E55" s="369"/>
      <c r="F55" s="369"/>
      <c r="G55" s="369"/>
      <c r="H55" s="369"/>
      <c r="I55" s="369"/>
      <c r="J55" s="370"/>
      <c r="K55" s="369"/>
      <c r="L55" s="370"/>
      <c r="M55" s="369"/>
      <c r="N55" s="370"/>
      <c r="O55" s="370"/>
      <c r="P55" s="370"/>
      <c r="Q55" s="370"/>
      <c r="R55" s="370"/>
      <c r="S55" s="370"/>
      <c r="T55" s="121"/>
      <c r="V55" s="1231"/>
      <c r="W55" s="1232"/>
      <c r="X55" s="1174"/>
    </row>
    <row r="56" spans="1:24">
      <c r="A56" s="2"/>
      <c r="B56" s="369" t="str">
        <f>B10</f>
        <v>[Department, Institut o.a.]</v>
      </c>
      <c r="C56" s="369"/>
      <c r="D56" s="369"/>
      <c r="E56" s="369"/>
      <c r="F56" s="369"/>
      <c r="G56" s="369"/>
      <c r="H56" s="369"/>
      <c r="I56" s="369"/>
      <c r="J56" s="370"/>
      <c r="K56" s="369"/>
      <c r="L56" s="370"/>
      <c r="M56" s="369"/>
      <c r="N56" s="370"/>
      <c r="O56" s="370"/>
      <c r="P56" s="370"/>
      <c r="Q56" s="370"/>
      <c r="R56" s="370"/>
      <c r="S56" s="370"/>
      <c r="T56" s="121"/>
      <c r="V56" s="1231"/>
      <c r="W56" s="1232"/>
      <c r="X56" s="1174"/>
    </row>
    <row r="57" spans="1:24">
      <c r="A57" s="2"/>
      <c r="B57" s="369" t="str">
        <f>CONCATENATE(B12,": ",B13)</f>
        <v>Lehr- und Forschungsbereich: Bauingenieurwesen</v>
      </c>
      <c r="C57" s="369"/>
      <c r="D57" s="369"/>
      <c r="E57" s="369"/>
      <c r="F57" s="369"/>
      <c r="G57" s="369"/>
      <c r="H57" s="369"/>
      <c r="I57" s="369"/>
      <c r="J57" s="370"/>
      <c r="K57" s="369"/>
      <c r="L57" s="370"/>
      <c r="M57" s="369"/>
      <c r="N57" s="370"/>
      <c r="O57" s="370"/>
      <c r="P57" s="370"/>
      <c r="Q57" s="370"/>
      <c r="R57" s="370"/>
      <c r="S57" s="370"/>
      <c r="T57" s="121"/>
      <c r="V57" s="1231"/>
      <c r="W57" s="1232"/>
      <c r="X57" s="1174"/>
    </row>
    <row r="58" spans="1:24">
      <c r="A58" s="2"/>
      <c r="T58" s="121"/>
      <c r="V58" s="1231"/>
      <c r="W58" s="1232"/>
      <c r="X58" s="1174"/>
    </row>
    <row r="59" spans="1:24">
      <c r="A59" s="2"/>
      <c r="B59" s="378" t="s">
        <v>95</v>
      </c>
      <c r="T59" s="121"/>
      <c r="V59" s="1231"/>
      <c r="W59" s="1232"/>
      <c r="X59" s="1174"/>
    </row>
    <row r="60" spans="1:24" s="202" customFormat="1" ht="2.25" customHeight="1">
      <c r="A60" s="110"/>
      <c r="B60" s="909"/>
      <c r="C60" s="910"/>
      <c r="D60" s="910"/>
      <c r="E60" s="910"/>
      <c r="F60" s="910"/>
      <c r="G60" s="910"/>
      <c r="H60" s="910"/>
      <c r="I60" s="910"/>
      <c r="J60" s="544"/>
      <c r="K60" s="910"/>
      <c r="L60" s="544"/>
      <c r="M60" s="910"/>
      <c r="N60" s="544"/>
      <c r="O60" s="544"/>
      <c r="P60" s="544"/>
      <c r="Q60" s="544"/>
      <c r="R60" s="544"/>
      <c r="S60" s="544"/>
      <c r="T60" s="320"/>
      <c r="V60" s="1231"/>
      <c r="W60" s="1232"/>
      <c r="X60" s="1174"/>
    </row>
    <row r="61" spans="1:24" s="202" customFormat="1" ht="10" customHeight="1">
      <c r="A61" s="206"/>
      <c r="B61" s="210"/>
      <c r="C61" s="206"/>
      <c r="D61" s="206"/>
      <c r="E61" s="206"/>
      <c r="F61" s="206"/>
      <c r="G61" s="206"/>
      <c r="H61" s="238"/>
      <c r="I61" s="238"/>
      <c r="J61" s="239"/>
      <c r="K61" s="238"/>
      <c r="L61" s="239"/>
      <c r="M61" s="238"/>
      <c r="N61" s="239"/>
      <c r="O61" s="239"/>
      <c r="P61" s="239"/>
      <c r="Q61" s="208"/>
      <c r="R61" s="208"/>
      <c r="S61" s="1166" t="s">
        <v>60</v>
      </c>
      <c r="T61" s="321"/>
      <c r="V61" s="1231"/>
      <c r="W61" s="1232"/>
      <c r="X61" s="1174"/>
    </row>
    <row r="62" spans="1:24" s="202" customFormat="1" ht="10" customHeight="1">
      <c r="A62" s="206"/>
      <c r="B62" s="210"/>
      <c r="C62" s="206"/>
      <c r="E62" s="206"/>
      <c r="F62" s="206"/>
      <c r="G62" s="206"/>
      <c r="H62" s="240" t="s">
        <v>60</v>
      </c>
      <c r="I62" s="241"/>
      <c r="J62" s="241"/>
      <c r="K62" s="240"/>
      <c r="L62" s="240"/>
      <c r="M62" s="243" t="s">
        <v>61</v>
      </c>
      <c r="N62" s="241"/>
      <c r="O62" s="240"/>
      <c r="P62" s="240"/>
      <c r="Q62" s="240"/>
      <c r="R62" s="240"/>
      <c r="S62" s="1189" t="s">
        <v>857</v>
      </c>
      <c r="T62" s="321"/>
      <c r="V62" s="1231"/>
      <c r="W62" s="1232"/>
      <c r="X62" s="1174"/>
    </row>
    <row r="63" spans="1:24" ht="10.4" customHeight="1">
      <c r="A63" s="2"/>
      <c r="B63" s="235"/>
      <c r="C63" s="204"/>
      <c r="F63" s="2"/>
      <c r="G63" s="2"/>
      <c r="H63" s="49"/>
      <c r="I63" s="2"/>
      <c r="J63" s="2"/>
      <c r="K63" s="49"/>
      <c r="L63" s="1"/>
      <c r="M63" s="244"/>
      <c r="N63" s="2"/>
      <c r="O63" s="49"/>
      <c r="P63" s="1"/>
      <c r="Q63" s="49"/>
      <c r="R63" s="49"/>
      <c r="S63" s="234"/>
      <c r="T63" s="321"/>
      <c r="V63" s="1231"/>
      <c r="W63" s="1232"/>
      <c r="X63" s="1174"/>
    </row>
    <row r="64" spans="1:24" ht="10.5">
      <c r="A64" s="2"/>
      <c r="B64" s="235"/>
      <c r="C64" s="204"/>
      <c r="E64" s="237" t="s">
        <v>66</v>
      </c>
      <c r="F64" s="2"/>
      <c r="G64" s="2"/>
      <c r="H64" s="202" t="s">
        <v>67</v>
      </c>
      <c r="I64" s="2"/>
      <c r="J64" s="2"/>
      <c r="K64" s="49"/>
      <c r="L64" s="1"/>
      <c r="M64" s="245" t="s">
        <v>67</v>
      </c>
      <c r="N64" s="2"/>
      <c r="O64" s="49"/>
      <c r="P64" s="1"/>
      <c r="T64" s="321"/>
      <c r="V64" s="1231"/>
      <c r="W64" s="1232"/>
      <c r="X64" s="1174"/>
    </row>
    <row r="65" spans="1:24" ht="12" customHeight="1">
      <c r="A65" s="2"/>
      <c r="B65" s="210"/>
      <c r="C65" s="206"/>
      <c r="D65" s="236" t="s">
        <v>65</v>
      </c>
      <c r="E65" s="355"/>
      <c r="F65" s="2"/>
      <c r="G65" s="2"/>
      <c r="H65" s="325">
        <f>SUM(H70:H81)</f>
        <v>0</v>
      </c>
      <c r="I65" s="326"/>
      <c r="J65" s="2"/>
      <c r="K65" s="49"/>
      <c r="L65" s="1"/>
      <c r="M65" s="1191">
        <f>SUM(M70:M81)</f>
        <v>0</v>
      </c>
      <c r="N65" s="326"/>
      <c r="O65" s="49"/>
      <c r="P65" s="1"/>
      <c r="S65" s="323">
        <f>H65+M65</f>
        <v>0</v>
      </c>
      <c r="T65" s="321"/>
      <c r="V65" s="1231"/>
      <c r="W65" s="1232"/>
      <c r="X65" s="1174"/>
    </row>
    <row r="66" spans="1:24" ht="12" customHeight="1">
      <c r="A66" s="2"/>
      <c r="B66" s="210"/>
      <c r="C66" s="206"/>
      <c r="D66" s="236" t="s">
        <v>74</v>
      </c>
      <c r="E66" s="356"/>
      <c r="F66" s="2"/>
      <c r="G66" s="2"/>
      <c r="H66" s="338">
        <f>H65*SUM(E65,E66)</f>
        <v>0</v>
      </c>
      <c r="I66" s="327" t="str">
        <f>IF(H66&gt;0,"SWS","")</f>
        <v/>
      </c>
      <c r="J66" s="2"/>
      <c r="K66" s="49"/>
      <c r="L66" s="1"/>
      <c r="M66" s="1192">
        <f>M65*SUM(E65,E66)</f>
        <v>0</v>
      </c>
      <c r="N66" s="327" t="str">
        <f>IF(M66&gt;0,"SWS","")</f>
        <v/>
      </c>
      <c r="O66" s="49"/>
      <c r="P66" s="1"/>
      <c r="S66" s="55">
        <f>SUM(H66,M66)</f>
        <v>0</v>
      </c>
      <c r="T66" s="321"/>
      <c r="V66" s="1231"/>
      <c r="W66" s="1232"/>
      <c r="X66" s="1174"/>
    </row>
    <row r="67" spans="1:24" ht="10.5">
      <c r="A67" s="2"/>
      <c r="B67" s="13"/>
      <c r="C67" s="2"/>
      <c r="D67" s="2"/>
      <c r="E67" s="324">
        <f>SUM(E65:E66)</f>
        <v>0</v>
      </c>
      <c r="F67" s="2"/>
      <c r="G67" s="2"/>
      <c r="H67" s="2"/>
      <c r="I67" s="2"/>
      <c r="J67" s="2"/>
      <c r="K67" s="49"/>
      <c r="L67" s="1"/>
      <c r="M67" s="244"/>
      <c r="N67" s="2"/>
      <c r="O67" s="49"/>
      <c r="P67" s="49"/>
      <c r="Q67" s="49"/>
      <c r="R67" s="49"/>
      <c r="S67" s="49"/>
      <c r="T67" s="321"/>
      <c r="V67" s="1231"/>
      <c r="W67" s="1232"/>
      <c r="X67" s="1174"/>
    </row>
    <row r="68" spans="1:24">
      <c r="A68" s="2"/>
      <c r="B68" s="13"/>
      <c r="C68" s="2"/>
      <c r="D68" s="2"/>
      <c r="F68" s="2"/>
      <c r="G68" s="2"/>
      <c r="H68" s="2"/>
      <c r="I68" s="2"/>
      <c r="J68" s="2"/>
      <c r="K68" s="113" t="s">
        <v>97</v>
      </c>
      <c r="L68" s="1"/>
      <c r="M68" s="244"/>
      <c r="N68" s="2"/>
      <c r="O68" s="49"/>
      <c r="P68" s="113" t="s">
        <v>97</v>
      </c>
      <c r="Q68" s="49"/>
      <c r="R68" s="49"/>
      <c r="S68" s="49"/>
      <c r="T68" s="321"/>
      <c r="V68" s="1231"/>
      <c r="W68" s="1232"/>
      <c r="X68" s="1174"/>
    </row>
    <row r="69" spans="1:24" ht="13.4" customHeight="1">
      <c r="A69" s="2"/>
      <c r="B69" s="13"/>
      <c r="C69" s="2"/>
      <c r="D69" s="2"/>
      <c r="E69" s="114"/>
      <c r="F69" s="2"/>
      <c r="G69" s="2"/>
      <c r="H69" s="113" t="s">
        <v>83</v>
      </c>
      <c r="I69" s="113" t="s">
        <v>31</v>
      </c>
      <c r="J69" s="113" t="s">
        <v>32</v>
      </c>
      <c r="K69" s="113" t="s">
        <v>96</v>
      </c>
      <c r="L69" s="113" t="s">
        <v>94</v>
      </c>
      <c r="M69" s="319" t="s">
        <v>83</v>
      </c>
      <c r="N69" s="113" t="s">
        <v>31</v>
      </c>
      <c r="O69" s="113" t="s">
        <v>32</v>
      </c>
      <c r="P69" s="113" t="s">
        <v>96</v>
      </c>
      <c r="Q69" s="113" t="s">
        <v>94</v>
      </c>
      <c r="R69" s="113"/>
      <c r="S69" s="49"/>
      <c r="T69" s="321"/>
      <c r="V69" s="1231"/>
      <c r="W69" s="1232"/>
      <c r="X69" s="1174"/>
    </row>
    <row r="70" spans="1:24" ht="11.15" customHeight="1">
      <c r="A70" s="2"/>
      <c r="B70" s="13"/>
      <c r="C70" s="2"/>
      <c r="D70" s="725"/>
      <c r="E70" s="725"/>
      <c r="F70" s="731" t="s">
        <v>201</v>
      </c>
      <c r="G70" s="2"/>
      <c r="H70" s="371"/>
      <c r="I70" s="372"/>
      <c r="J70" s="373"/>
      <c r="K70" s="374"/>
      <c r="L70" s="337">
        <f>IFERROR($E$67*H70*I70/J70*K70,0)</f>
        <v>0</v>
      </c>
      <c r="M70" s="376"/>
      <c r="N70" s="372"/>
      <c r="O70" s="373"/>
      <c r="P70" s="374"/>
      <c r="Q70" s="115">
        <f>IFERROR($E$67*M70*N70/O70*P70,0)</f>
        <v>0</v>
      </c>
      <c r="R70" s="342"/>
      <c r="S70" s="49"/>
      <c r="T70" s="321"/>
      <c r="V70" s="1200"/>
      <c r="W70" s="1201"/>
      <c r="X70" s="1202"/>
    </row>
    <row r="71" spans="1:24" ht="11.15" customHeight="1">
      <c r="B71" s="13"/>
      <c r="C71" s="2"/>
      <c r="D71" s="726"/>
      <c r="E71" s="726"/>
      <c r="F71" s="732" t="s">
        <v>202</v>
      </c>
      <c r="G71" s="2"/>
      <c r="H71" s="375"/>
      <c r="I71" s="372"/>
      <c r="J71" s="373"/>
      <c r="K71" s="374"/>
      <c r="L71" s="337">
        <f>IFERROR($E$67*H71*I71/J71*K71,0)</f>
        <v>0</v>
      </c>
      <c r="M71" s="377"/>
      <c r="N71" s="372"/>
      <c r="O71" s="373"/>
      <c r="P71" s="374"/>
      <c r="Q71" s="115">
        <f t="shared" ref="Q71:Q81" si="0">IFERROR($E$67*M71*N71/O71*P71,0)</f>
        <v>0</v>
      </c>
      <c r="R71" s="342"/>
      <c r="S71" s="49"/>
      <c r="T71" s="321"/>
      <c r="V71" s="1200"/>
      <c r="W71" s="1201"/>
      <c r="X71" s="1202"/>
    </row>
    <row r="72" spans="1:24" ht="11.5" customHeight="1">
      <c r="B72" s="13"/>
      <c r="C72" s="2"/>
      <c r="D72" s="726"/>
      <c r="E72" s="726"/>
      <c r="F72" s="732" t="s">
        <v>203</v>
      </c>
      <c r="G72" s="2"/>
      <c r="H72" s="375"/>
      <c r="I72" s="372"/>
      <c r="J72" s="373"/>
      <c r="K72" s="374"/>
      <c r="L72" s="337">
        <f>IFERROR($E$67*H72*I72/J72*K72,0)</f>
        <v>0</v>
      </c>
      <c r="M72" s="377"/>
      <c r="N72" s="372"/>
      <c r="O72" s="373"/>
      <c r="P72" s="374"/>
      <c r="Q72" s="115">
        <f t="shared" si="0"/>
        <v>0</v>
      </c>
      <c r="R72" s="342"/>
      <c r="S72" s="49"/>
      <c r="T72" s="321"/>
      <c r="V72" s="1200"/>
      <c r="W72" s="1201"/>
      <c r="X72" s="1202"/>
    </row>
    <row r="73" spans="1:24">
      <c r="B73" s="13"/>
      <c r="C73" s="2"/>
      <c r="D73" s="726"/>
      <c r="E73" s="726"/>
      <c r="F73" s="732"/>
      <c r="G73" s="2"/>
      <c r="H73" s="375"/>
      <c r="I73" s="372"/>
      <c r="J73" s="373"/>
      <c r="K73" s="374"/>
      <c r="L73" s="337">
        <f t="shared" ref="L73:L81" si="1">IFERROR($E$67*H73*I73/J73*K73,0)</f>
        <v>0</v>
      </c>
      <c r="M73" s="377"/>
      <c r="N73" s="372"/>
      <c r="O73" s="373"/>
      <c r="P73" s="374"/>
      <c r="Q73" s="115">
        <f t="shared" si="0"/>
        <v>0</v>
      </c>
      <c r="R73" s="342"/>
      <c r="S73" s="49"/>
      <c r="T73" s="321"/>
      <c r="V73" s="1200"/>
      <c r="W73" s="1201"/>
      <c r="X73" s="1202"/>
    </row>
    <row r="74" spans="1:24">
      <c r="B74" s="13"/>
      <c r="C74" s="2"/>
      <c r="D74" s="727"/>
      <c r="E74" s="728"/>
      <c r="F74" s="732"/>
      <c r="G74" s="2"/>
      <c r="H74" s="375"/>
      <c r="I74" s="372"/>
      <c r="J74" s="373"/>
      <c r="K74" s="374"/>
      <c r="L74" s="337">
        <f t="shared" si="1"/>
        <v>0</v>
      </c>
      <c r="M74" s="377"/>
      <c r="N74" s="372"/>
      <c r="O74" s="373"/>
      <c r="P74" s="374"/>
      <c r="Q74" s="115">
        <f t="shared" si="0"/>
        <v>0</v>
      </c>
      <c r="R74" s="342"/>
      <c r="S74" s="49"/>
      <c r="T74" s="321"/>
      <c r="V74" s="1200"/>
      <c r="W74" s="1201"/>
      <c r="X74" s="1202"/>
    </row>
    <row r="75" spans="1:24">
      <c r="B75" s="13"/>
      <c r="C75" s="2"/>
      <c r="D75" s="727"/>
      <c r="E75" s="728"/>
      <c r="F75" s="732"/>
      <c r="G75" s="2"/>
      <c r="H75" s="375"/>
      <c r="I75" s="372"/>
      <c r="J75" s="373"/>
      <c r="K75" s="374"/>
      <c r="L75" s="337">
        <f t="shared" si="1"/>
        <v>0</v>
      </c>
      <c r="M75" s="377"/>
      <c r="N75" s="372"/>
      <c r="O75" s="373"/>
      <c r="P75" s="374"/>
      <c r="Q75" s="115">
        <f t="shared" si="0"/>
        <v>0</v>
      </c>
      <c r="R75" s="342"/>
      <c r="S75" s="49"/>
      <c r="T75" s="321"/>
      <c r="V75" s="1200"/>
      <c r="W75" s="1201"/>
      <c r="X75" s="1202"/>
    </row>
    <row r="76" spans="1:24">
      <c r="B76" s="13"/>
      <c r="C76" s="2"/>
      <c r="D76" s="727"/>
      <c r="E76" s="728"/>
      <c r="F76" s="732"/>
      <c r="G76" s="2"/>
      <c r="H76" s="375"/>
      <c r="I76" s="372"/>
      <c r="J76" s="373"/>
      <c r="K76" s="374"/>
      <c r="L76" s="337">
        <f t="shared" si="1"/>
        <v>0</v>
      </c>
      <c r="M76" s="377"/>
      <c r="N76" s="372"/>
      <c r="O76" s="373"/>
      <c r="P76" s="374"/>
      <c r="Q76" s="115">
        <f t="shared" si="0"/>
        <v>0</v>
      </c>
      <c r="R76" s="342"/>
      <c r="S76" s="49"/>
      <c r="T76" s="321"/>
      <c r="V76" s="1200"/>
      <c r="W76" s="1201"/>
      <c r="X76" s="1202"/>
    </row>
    <row r="77" spans="1:24">
      <c r="B77" s="13"/>
      <c r="C77" s="2"/>
      <c r="D77" s="727"/>
      <c r="E77" s="728"/>
      <c r="F77" s="732"/>
      <c r="G77" s="2"/>
      <c r="H77" s="375"/>
      <c r="I77" s="372"/>
      <c r="J77" s="373"/>
      <c r="K77" s="374"/>
      <c r="L77" s="337">
        <f t="shared" si="1"/>
        <v>0</v>
      </c>
      <c r="M77" s="377"/>
      <c r="N77" s="372"/>
      <c r="O77" s="373"/>
      <c r="P77" s="374"/>
      <c r="Q77" s="115">
        <f t="shared" si="0"/>
        <v>0</v>
      </c>
      <c r="R77" s="342"/>
      <c r="S77" s="49"/>
      <c r="T77" s="321"/>
      <c r="V77" s="1200"/>
      <c r="W77" s="1201"/>
      <c r="X77" s="1202"/>
    </row>
    <row r="78" spans="1:24">
      <c r="B78" s="13"/>
      <c r="C78" s="2"/>
      <c r="D78" s="727"/>
      <c r="E78" s="728"/>
      <c r="F78" s="732"/>
      <c r="G78" s="2"/>
      <c r="H78" s="375"/>
      <c r="I78" s="372"/>
      <c r="J78" s="373"/>
      <c r="K78" s="374"/>
      <c r="L78" s="337">
        <f t="shared" si="1"/>
        <v>0</v>
      </c>
      <c r="M78" s="377"/>
      <c r="N78" s="372"/>
      <c r="O78" s="373"/>
      <c r="P78" s="374"/>
      <c r="Q78" s="115">
        <f t="shared" si="0"/>
        <v>0</v>
      </c>
      <c r="R78" s="342"/>
      <c r="S78" s="49"/>
      <c r="T78" s="321"/>
      <c r="V78" s="1200"/>
      <c r="W78" s="1201"/>
      <c r="X78" s="1202"/>
    </row>
    <row r="79" spans="1:24">
      <c r="B79" s="13"/>
      <c r="C79" s="2"/>
      <c r="D79" s="727"/>
      <c r="E79" s="728"/>
      <c r="F79" s="732"/>
      <c r="G79" s="2"/>
      <c r="H79" s="375"/>
      <c r="I79" s="372"/>
      <c r="J79" s="373"/>
      <c r="K79" s="374"/>
      <c r="L79" s="337">
        <f t="shared" si="1"/>
        <v>0</v>
      </c>
      <c r="M79" s="377"/>
      <c r="N79" s="372"/>
      <c r="O79" s="373"/>
      <c r="P79" s="374"/>
      <c r="Q79" s="115">
        <f t="shared" si="0"/>
        <v>0</v>
      </c>
      <c r="R79" s="342"/>
      <c r="S79" s="49"/>
      <c r="T79" s="321"/>
      <c r="V79" s="1200"/>
      <c r="W79" s="1201"/>
      <c r="X79" s="1202"/>
    </row>
    <row r="80" spans="1:24">
      <c r="B80" s="13"/>
      <c r="C80" s="2"/>
      <c r="D80" s="727"/>
      <c r="E80" s="728"/>
      <c r="F80" s="732"/>
      <c r="G80" s="2"/>
      <c r="H80" s="375"/>
      <c r="I80" s="372"/>
      <c r="J80" s="373"/>
      <c r="K80" s="374"/>
      <c r="L80" s="337">
        <f t="shared" si="1"/>
        <v>0</v>
      </c>
      <c r="M80" s="377"/>
      <c r="N80" s="372"/>
      <c r="O80" s="373"/>
      <c r="P80" s="374"/>
      <c r="Q80" s="115">
        <f t="shared" si="0"/>
        <v>0</v>
      </c>
      <c r="R80" s="342"/>
      <c r="S80" s="49"/>
      <c r="T80" s="321"/>
      <c r="V80" s="1200"/>
      <c r="W80" s="1201"/>
      <c r="X80" s="1202"/>
    </row>
    <row r="81" spans="1:24">
      <c r="B81" s="13"/>
      <c r="C81" s="2"/>
      <c r="D81" s="729"/>
      <c r="E81" s="730"/>
      <c r="F81" s="733"/>
      <c r="G81" s="2"/>
      <c r="H81" s="375"/>
      <c r="I81" s="372"/>
      <c r="J81" s="373"/>
      <c r="K81" s="374"/>
      <c r="L81" s="337">
        <f t="shared" si="1"/>
        <v>0</v>
      </c>
      <c r="M81" s="377"/>
      <c r="N81" s="372"/>
      <c r="O81" s="373"/>
      <c r="P81" s="374"/>
      <c r="Q81" s="115">
        <f t="shared" si="0"/>
        <v>0</v>
      </c>
      <c r="R81" s="342"/>
      <c r="S81" s="49"/>
      <c r="T81" s="321"/>
      <c r="V81" s="1200"/>
      <c r="W81" s="1201"/>
      <c r="X81" s="1202"/>
    </row>
    <row r="82" spans="1:24">
      <c r="B82" s="13"/>
      <c r="C82" s="2"/>
      <c r="D82" s="2"/>
      <c r="E82" s="2"/>
      <c r="F82" s="2"/>
      <c r="G82" s="2"/>
      <c r="H82" s="49"/>
      <c r="I82" s="2"/>
      <c r="J82" s="49"/>
      <c r="L82" s="49"/>
      <c r="M82" s="335"/>
      <c r="N82" s="49"/>
      <c r="O82" s="49"/>
      <c r="P82" s="49"/>
      <c r="Q82" s="49"/>
      <c r="R82" s="49"/>
      <c r="S82" s="208" t="s">
        <v>99</v>
      </c>
      <c r="T82" s="321"/>
      <c r="V82" s="1231"/>
      <c r="W82" s="1232"/>
      <c r="X82" s="1174"/>
    </row>
    <row r="83" spans="1:24" ht="12" customHeight="1">
      <c r="B83" s="13"/>
      <c r="C83" s="2"/>
      <c r="D83" s="236" t="s">
        <v>182</v>
      </c>
      <c r="E83" s="2"/>
      <c r="F83" s="2"/>
      <c r="G83" s="2"/>
      <c r="H83" s="49"/>
      <c r="I83" s="2"/>
      <c r="K83" s="116" t="s">
        <v>196</v>
      </c>
      <c r="L83" s="357"/>
      <c r="M83" s="336"/>
      <c r="N83" s="1"/>
      <c r="O83" s="1"/>
      <c r="P83" s="116" t="s">
        <v>196</v>
      </c>
      <c r="Q83" s="358"/>
      <c r="R83" s="343"/>
      <c r="S83" s="208" t="s">
        <v>98</v>
      </c>
      <c r="T83" s="321"/>
      <c r="V83" s="1231"/>
      <c r="W83" s="1232"/>
      <c r="X83" s="1174"/>
    </row>
    <row r="84" spans="1:24" ht="12" customHeight="1">
      <c r="B84" s="13"/>
      <c r="C84" s="2"/>
      <c r="D84" s="236" t="s">
        <v>183</v>
      </c>
      <c r="E84" s="350"/>
      <c r="F84" s="2"/>
      <c r="G84" s="2"/>
      <c r="H84" s="49"/>
      <c r="I84" s="2"/>
      <c r="J84" s="49"/>
      <c r="K84" s="435" t="s">
        <v>26</v>
      </c>
      <c r="L84" s="334">
        <f>IF(L83=0,SUM(L70:L81),L83)</f>
        <v>0</v>
      </c>
      <c r="M84" s="336"/>
      <c r="N84" s="1"/>
      <c r="O84" s="1"/>
      <c r="P84" s="435" t="s">
        <v>26</v>
      </c>
      <c r="Q84" s="118">
        <f>IF(Q83=0,SUM(Q70:Q81),Q83)</f>
        <v>0</v>
      </c>
      <c r="R84" s="344"/>
      <c r="S84" s="118">
        <f>L84+Q84*'HAW-Kennwerte'!$R$30</f>
        <v>0</v>
      </c>
      <c r="T84" s="321"/>
      <c r="V84" s="1200"/>
      <c r="W84" s="1201"/>
      <c r="X84" s="1202"/>
    </row>
    <row r="85" spans="1:24" ht="10.5">
      <c r="B85" s="13"/>
      <c r="C85" s="2"/>
      <c r="D85" s="2"/>
      <c r="E85" s="2"/>
      <c r="F85" s="2"/>
      <c r="G85" s="2"/>
      <c r="H85" s="49"/>
      <c r="I85" s="2"/>
      <c r="J85" s="49"/>
      <c r="K85" s="242"/>
      <c r="L85" s="2"/>
      <c r="M85" s="336"/>
      <c r="N85" s="1"/>
      <c r="O85" s="1"/>
      <c r="P85" s="49"/>
      <c r="Q85" s="242"/>
      <c r="R85" s="242"/>
      <c r="S85" s="242"/>
      <c r="T85" s="321"/>
      <c r="V85" s="1231"/>
      <c r="W85" s="1232"/>
      <c r="X85" s="1174"/>
    </row>
    <row r="86" spans="1:24" ht="12" customHeight="1">
      <c r="B86" s="13"/>
      <c r="C86" s="2"/>
      <c r="D86" s="716" t="s">
        <v>194</v>
      </c>
      <c r="E86" s="479" t="s">
        <v>195</v>
      </c>
      <c r="F86" s="2"/>
      <c r="G86" s="2"/>
      <c r="I86" s="2"/>
      <c r="J86" s="208"/>
      <c r="K86" s="242"/>
      <c r="L86" s="204"/>
      <c r="M86" s="204"/>
      <c r="N86" s="203"/>
      <c r="O86" s="203"/>
      <c r="P86" s="791"/>
      <c r="Q86" s="202"/>
      <c r="R86" s="607"/>
      <c r="S86" s="607"/>
      <c r="T86" s="321"/>
      <c r="V86" s="1231"/>
      <c r="W86" s="1232"/>
      <c r="X86" s="1174"/>
    </row>
    <row r="87" spans="1:24" ht="12" customHeight="1">
      <c r="B87" s="13"/>
      <c r="C87" s="2"/>
      <c r="D87" s="2"/>
      <c r="E87" s="2"/>
      <c r="F87" s="2"/>
      <c r="G87" s="2"/>
      <c r="H87" s="49"/>
      <c r="I87" s="2"/>
      <c r="J87" s="202"/>
      <c r="K87" s="206">
        <f>IF($Q$87&gt;2023,$Q$87-6,"")</f>
        <v>2019</v>
      </c>
      <c r="L87" s="206">
        <f>IF($Q$87&gt;2023,$Q$87-5,"")</f>
        <v>2020</v>
      </c>
      <c r="M87" s="206">
        <f>IF($Q$87&gt;2023,$Q$87-4,"")</f>
        <v>2021</v>
      </c>
      <c r="N87" s="206">
        <f>IF($Q$87&gt;2023,$Q$87-3,"")</f>
        <v>2022</v>
      </c>
      <c r="O87" s="206">
        <f>IF($Q$87&gt;2023,$Q$87-2,"")</f>
        <v>2023</v>
      </c>
      <c r="P87" s="206">
        <f>IF($Q$87&gt;2023,$Q$87-1,"")</f>
        <v>2024</v>
      </c>
      <c r="Q87" s="711">
        <v>2025</v>
      </c>
      <c r="R87" s="50"/>
      <c r="S87" s="202"/>
      <c r="T87" s="321"/>
      <c r="V87" s="1231"/>
      <c r="W87" s="1232"/>
      <c r="X87" s="1174"/>
    </row>
    <row r="88" spans="1:24" ht="12" customHeight="1">
      <c r="B88" s="13"/>
      <c r="C88" s="2"/>
      <c r="D88" s="2"/>
      <c r="E88" s="2"/>
      <c r="F88" s="2"/>
      <c r="G88" s="2"/>
      <c r="H88" s="49"/>
      <c r="I88" s="2"/>
      <c r="J88" s="435" t="s">
        <v>245</v>
      </c>
      <c r="K88" s="792"/>
      <c r="L88" s="792"/>
      <c r="M88" s="792"/>
      <c r="N88" s="792"/>
      <c r="O88" s="792"/>
      <c r="P88" s="792"/>
      <c r="Q88" s="792"/>
      <c r="R88" s="50"/>
      <c r="S88" s="744">
        <f>IF(S89&gt;0,IF(S89&gt;1,0,S89),IFERROR(IF((K88*3+L88*4+M88*5+N88*6+O88*7+P88*8+Q88*9)/42&gt;1,1,(K88*3+L88*4+M88*5+N88*6+O88*7+P88*8+Q88*9)/42),""))</f>
        <v>0</v>
      </c>
      <c r="T88" s="321"/>
      <c r="V88" s="1233"/>
      <c r="W88" s="1234"/>
      <c r="X88" s="1235"/>
    </row>
    <row r="89" spans="1:24" ht="12" customHeight="1">
      <c r="B89" s="13"/>
      <c r="C89" s="2"/>
      <c r="D89" s="2"/>
      <c r="E89" s="2"/>
      <c r="F89" s="2"/>
      <c r="G89" s="2"/>
      <c r="H89" s="49"/>
      <c r="I89" s="2"/>
      <c r="J89" s="208"/>
      <c r="K89" s="743" t="s">
        <v>246</v>
      </c>
      <c r="L89" s="203"/>
      <c r="M89" s="203"/>
      <c r="N89" s="203"/>
      <c r="O89" s="203"/>
      <c r="P89" s="607"/>
      <c r="Q89" s="202"/>
      <c r="R89" s="50"/>
      <c r="S89" s="1188"/>
      <c r="T89" s="321"/>
    </row>
    <row r="90" spans="1:24">
      <c r="B90" s="45"/>
      <c r="C90" s="46"/>
      <c r="D90" s="46"/>
      <c r="E90" s="46"/>
      <c r="F90" s="46"/>
      <c r="G90" s="46"/>
      <c r="H90" s="46"/>
      <c r="I90" s="46"/>
      <c r="J90" s="119"/>
      <c r="K90" s="46"/>
      <c r="L90" s="119"/>
      <c r="M90" s="46"/>
      <c r="N90" s="119"/>
      <c r="O90" s="230"/>
      <c r="P90" s="119"/>
      <c r="Q90" s="119"/>
      <c r="R90" s="119"/>
      <c r="S90" s="119"/>
      <c r="T90" s="322"/>
    </row>
    <row r="91" spans="1:24">
      <c r="B91" s="12" t="s">
        <v>100</v>
      </c>
      <c r="H91" s="2"/>
      <c r="I91" s="2"/>
      <c r="J91" s="49"/>
      <c r="K91" s="2"/>
      <c r="L91" s="49"/>
      <c r="M91" s="2"/>
      <c r="N91" s="49"/>
      <c r="O91" s="49"/>
      <c r="P91" s="49"/>
      <c r="Q91" s="49"/>
      <c r="R91" s="49"/>
      <c r="S91" s="49"/>
      <c r="T91" s="121"/>
    </row>
    <row r="92" spans="1:24">
      <c r="A92" s="106"/>
      <c r="B92" s="209" t="s">
        <v>68</v>
      </c>
      <c r="C92" s="106"/>
      <c r="D92" s="106"/>
      <c r="E92" s="106"/>
      <c r="F92" s="106"/>
      <c r="G92" s="106"/>
      <c r="H92" s="106"/>
      <c r="I92" s="106"/>
      <c r="J92" s="107"/>
      <c r="K92" s="106"/>
      <c r="L92" s="107"/>
      <c r="M92" s="106"/>
      <c r="N92" s="107"/>
      <c r="O92" s="107"/>
      <c r="P92" s="107"/>
      <c r="Q92" s="107"/>
      <c r="R92" s="107"/>
      <c r="S92" s="107"/>
      <c r="T92" s="107"/>
    </row>
    <row r="93" spans="1:24">
      <c r="Q93" s="201"/>
      <c r="R93" s="201"/>
      <c r="S93" s="201" t="str">
        <f>HAW!B28</f>
        <v>Kennwertverfahren NRW für HAW; HIS-Institut für Hochschulentwicklung e.V. (24.04.2026)</v>
      </c>
      <c r="T93" s="201"/>
    </row>
    <row r="95" spans="1:24">
      <c r="B95" s="229"/>
      <c r="C95" s="202"/>
    </row>
    <row r="96" spans="1:24" ht="10.5">
      <c r="B96" s="794" t="str">
        <f>IF(B8=0,B7,CONCATENATE(B7,B8))</f>
        <v>Hochschule …</v>
      </c>
      <c r="C96" s="795"/>
      <c r="D96" s="795"/>
      <c r="E96" s="795"/>
      <c r="F96" s="795"/>
      <c r="G96" s="795"/>
      <c r="H96" s="795"/>
      <c r="I96" s="795"/>
      <c r="J96" s="796"/>
      <c r="K96" s="795"/>
      <c r="L96" s="796"/>
      <c r="M96" s="795"/>
      <c r="N96" s="796"/>
      <c r="O96" s="796"/>
      <c r="P96" s="796"/>
      <c r="Q96" s="796"/>
      <c r="R96" s="796"/>
      <c r="S96" s="796"/>
    </row>
    <row r="97" spans="2:19">
      <c r="B97" s="795" t="str">
        <f>B9</f>
        <v>[Fakultät/Fachbereich]</v>
      </c>
      <c r="C97" s="795"/>
      <c r="D97" s="795"/>
      <c r="E97" s="795"/>
      <c r="F97" s="795"/>
      <c r="G97" s="795"/>
      <c r="H97" s="795"/>
      <c r="I97" s="795"/>
      <c r="J97" s="796"/>
      <c r="K97" s="795"/>
      <c r="L97" s="796"/>
      <c r="M97" s="795"/>
      <c r="N97" s="796"/>
      <c r="O97" s="796"/>
      <c r="P97" s="796"/>
      <c r="Q97" s="796"/>
      <c r="R97" s="796"/>
      <c r="S97" s="796"/>
    </row>
    <row r="98" spans="2:19">
      <c r="B98" s="795" t="str">
        <f>B10</f>
        <v>[Department, Institut o.a.]</v>
      </c>
      <c r="C98" s="795"/>
      <c r="D98" s="795"/>
      <c r="E98" s="795"/>
      <c r="F98" s="795"/>
      <c r="G98" s="795"/>
      <c r="H98" s="795"/>
      <c r="I98" s="795"/>
      <c r="J98" s="796"/>
      <c r="K98" s="795"/>
      <c r="L98" s="796"/>
      <c r="M98" s="795"/>
      <c r="N98" s="796"/>
      <c r="O98" s="796"/>
      <c r="P98" s="796"/>
      <c r="Q98" s="796"/>
      <c r="R98" s="796"/>
      <c r="S98" s="796"/>
    </row>
    <row r="99" spans="2:19">
      <c r="B99" s="795" t="str">
        <f>CONCATENATE(B12,": ",B13)</f>
        <v>Lehr- und Forschungsbereich: Bauingenieurwesen</v>
      </c>
      <c r="C99" s="795"/>
      <c r="D99" s="795"/>
      <c r="E99" s="795"/>
      <c r="F99" s="795"/>
      <c r="G99" s="795"/>
      <c r="H99" s="795"/>
      <c r="I99" s="795"/>
      <c r="J99" s="796"/>
      <c r="K99" s="795"/>
      <c r="L99" s="796"/>
      <c r="M99" s="795"/>
      <c r="N99" s="796"/>
      <c r="O99" s="796"/>
      <c r="P99" s="796"/>
      <c r="Q99" s="796"/>
      <c r="R99" s="796"/>
      <c r="S99" s="796"/>
    </row>
    <row r="100" spans="2:19">
      <c r="B100" s="202"/>
      <c r="C100" s="202"/>
      <c r="D100" s="202"/>
      <c r="E100" s="202"/>
      <c r="F100" s="202"/>
      <c r="G100" s="202"/>
      <c r="H100" s="202"/>
      <c r="I100" s="202"/>
      <c r="J100" s="607"/>
      <c r="K100" s="202"/>
      <c r="L100" s="607"/>
      <c r="M100" s="202"/>
      <c r="N100" s="607"/>
      <c r="O100" s="607"/>
      <c r="P100" s="607"/>
      <c r="Q100" s="607"/>
      <c r="R100" s="607"/>
      <c r="S100" s="607"/>
    </row>
    <row r="101" spans="2:19">
      <c r="B101" s="110" t="s">
        <v>235</v>
      </c>
      <c r="C101" s="206"/>
      <c r="D101" s="206"/>
      <c r="E101" s="206"/>
      <c r="F101" s="206"/>
      <c r="G101" s="206"/>
      <c r="H101" s="206"/>
      <c r="I101" s="206"/>
      <c r="J101" s="208"/>
      <c r="K101" s="206"/>
      <c r="L101" s="208"/>
      <c r="M101" s="206"/>
      <c r="N101" s="208"/>
      <c r="O101" s="208"/>
      <c r="P101" s="208"/>
      <c r="Q101" s="208"/>
      <c r="R101" s="208"/>
      <c r="S101" s="208"/>
    </row>
    <row r="102" spans="2:19">
      <c r="B102" s="909"/>
      <c r="C102" s="910"/>
      <c r="D102" s="910"/>
      <c r="E102" s="910"/>
      <c r="F102" s="910"/>
      <c r="G102" s="910"/>
      <c r="H102" s="910"/>
      <c r="I102" s="910"/>
      <c r="J102" s="544"/>
      <c r="K102" s="910"/>
      <c r="L102" s="544"/>
      <c r="M102" s="910"/>
      <c r="N102" s="544"/>
      <c r="O102" s="544"/>
      <c r="P102" s="544"/>
      <c r="Q102" s="544"/>
      <c r="R102" s="544"/>
      <c r="S102" s="1173"/>
    </row>
    <row r="103" spans="2:19" ht="10.5">
      <c r="B103" s="210"/>
      <c r="C103" s="206"/>
      <c r="D103" s="206"/>
      <c r="E103" s="206"/>
      <c r="F103" s="206"/>
      <c r="G103" s="1166" t="s">
        <v>249</v>
      </c>
      <c r="H103" s="797">
        <f>SUM(H107:H156)</f>
        <v>0</v>
      </c>
      <c r="I103" s="206"/>
      <c r="J103" s="208"/>
      <c r="K103" s="206"/>
      <c r="L103" s="208"/>
      <c r="M103" s="206"/>
      <c r="N103" s="208"/>
      <c r="O103" s="1166" t="s">
        <v>265</v>
      </c>
      <c r="P103" s="1353">
        <f>SUMPRODUCT(H107:H156,P107:P156)+SUMPRODUCT(H107:H156,Q107:Q156)</f>
        <v>0</v>
      </c>
      <c r="Q103" s="1354"/>
      <c r="R103" s="208"/>
      <c r="S103" s="1174"/>
    </row>
    <row r="104" spans="2:19">
      <c r="B104" s="210"/>
      <c r="C104" s="206"/>
      <c r="D104" s="206"/>
      <c r="E104" s="206"/>
      <c r="F104" s="206"/>
      <c r="G104" s="207"/>
      <c r="H104" s="798"/>
      <c r="I104" s="206"/>
      <c r="J104" s="208"/>
      <c r="K104" s="206"/>
      <c r="L104" s="208"/>
      <c r="M104" s="206"/>
      <c r="N104" s="208"/>
      <c r="O104" s="207"/>
      <c r="P104" s="799" t="str">
        <f>IF($P103=0,"",SUMPRODUCT($H107:$H156,P107:P156)/$P103)</f>
        <v/>
      </c>
      <c r="Q104" s="799" t="str">
        <f>IF($P103=0,"",SUMPRODUCT($H107:$H156,Q107:Q156)/$P103)</f>
        <v/>
      </c>
      <c r="R104" s="208"/>
      <c r="S104" s="1174"/>
    </row>
    <row r="105" spans="2:19" ht="10.5">
      <c r="B105" s="210"/>
      <c r="C105" s="206"/>
      <c r="D105" s="206"/>
      <c r="E105" s="206"/>
      <c r="F105" s="206"/>
      <c r="G105" s="206"/>
      <c r="H105" s="206"/>
      <c r="I105" s="206"/>
      <c r="J105" s="208"/>
      <c r="K105" s="206"/>
      <c r="L105" s="208"/>
      <c r="M105" s="206"/>
      <c r="N105" s="208"/>
      <c r="O105" s="208"/>
      <c r="P105" s="1355"/>
      <c r="Q105" s="1355"/>
      <c r="R105" s="208"/>
      <c r="S105" s="1174"/>
    </row>
    <row r="106" spans="2:19" ht="10.5">
      <c r="B106" s="1175" t="s">
        <v>250</v>
      </c>
      <c r="C106" s="800" t="s">
        <v>251</v>
      </c>
      <c r="D106" s="238"/>
      <c r="E106" s="238"/>
      <c r="F106" s="238"/>
      <c r="G106" s="238"/>
      <c r="H106" s="239" t="s">
        <v>252</v>
      </c>
      <c r="I106" s="238" t="s">
        <v>253</v>
      </c>
      <c r="J106" s="238"/>
      <c r="K106" s="239"/>
      <c r="L106" s="238"/>
      <c r="M106" s="239"/>
      <c r="N106" s="208"/>
      <c r="O106" s="801" t="s">
        <v>88</v>
      </c>
      <c r="P106" s="239" t="s">
        <v>84</v>
      </c>
      <c r="Q106" s="239" t="s">
        <v>85</v>
      </c>
      <c r="R106" s="208"/>
      <c r="S106" s="1174"/>
    </row>
    <row r="107" spans="2:19">
      <c r="B107" s="210" t="str">
        <f>IF(COUNTA(C107)=1,1,"")</f>
        <v/>
      </c>
      <c r="C107" s="802"/>
      <c r="D107" s="803"/>
      <c r="E107" s="803"/>
      <c r="F107" s="803"/>
      <c r="G107" s="803"/>
      <c r="H107" s="804"/>
      <c r="I107" s="802"/>
      <c r="J107" s="803"/>
      <c r="K107" s="803"/>
      <c r="L107" s="803"/>
      <c r="M107" s="803"/>
      <c r="N107" s="803"/>
      <c r="O107" s="805"/>
      <c r="P107" s="806"/>
      <c r="Q107" s="806"/>
      <c r="R107" s="807">
        <f>SUM(O107:Q107)</f>
        <v>0</v>
      </c>
      <c r="S107" s="1174"/>
    </row>
    <row r="108" spans="2:19">
      <c r="B108" s="210" t="str">
        <f>IF(COUNTA(C108)=1,MAX(B$107:B107)+1,"")</f>
        <v/>
      </c>
      <c r="C108" s="808"/>
      <c r="D108" s="809"/>
      <c r="E108" s="809"/>
      <c r="F108" s="809"/>
      <c r="G108" s="809"/>
      <c r="H108" s="810"/>
      <c r="I108" s="808"/>
      <c r="J108" s="809"/>
      <c r="K108" s="809"/>
      <c r="L108" s="809"/>
      <c r="M108" s="809"/>
      <c r="N108" s="809"/>
      <c r="O108" s="811"/>
      <c r="P108" s="812"/>
      <c r="Q108" s="812"/>
      <c r="R108" s="807">
        <f t="shared" ref="R108:R156" si="2">SUM(O108:Q108)</f>
        <v>0</v>
      </c>
      <c r="S108" s="1174"/>
    </row>
    <row r="109" spans="2:19">
      <c r="B109" s="210" t="str">
        <f>IF(COUNTA(C109)=1,MAX(B$107:B108)+1,"")</f>
        <v/>
      </c>
      <c r="C109" s="808"/>
      <c r="D109" s="809"/>
      <c r="E109" s="809"/>
      <c r="F109" s="809"/>
      <c r="G109" s="809"/>
      <c r="H109" s="810"/>
      <c r="I109" s="808"/>
      <c r="J109" s="809"/>
      <c r="K109" s="809"/>
      <c r="L109" s="809"/>
      <c r="M109" s="809"/>
      <c r="N109" s="809"/>
      <c r="O109" s="811"/>
      <c r="P109" s="812"/>
      <c r="Q109" s="812"/>
      <c r="R109" s="807">
        <f t="shared" si="2"/>
        <v>0</v>
      </c>
      <c r="S109" s="1174"/>
    </row>
    <row r="110" spans="2:19">
      <c r="B110" s="210" t="str">
        <f>IF(COUNTA(C110)=1,MAX(B$107:B109)+1,"")</f>
        <v/>
      </c>
      <c r="C110" s="808"/>
      <c r="D110" s="809"/>
      <c r="E110" s="809"/>
      <c r="F110" s="809"/>
      <c r="G110" s="809"/>
      <c r="H110" s="810"/>
      <c r="I110" s="808"/>
      <c r="J110" s="809"/>
      <c r="K110" s="809"/>
      <c r="L110" s="809"/>
      <c r="M110" s="809"/>
      <c r="N110" s="809"/>
      <c r="O110" s="811"/>
      <c r="P110" s="812"/>
      <c r="Q110" s="812"/>
      <c r="R110" s="807">
        <f t="shared" si="2"/>
        <v>0</v>
      </c>
      <c r="S110" s="1174"/>
    </row>
    <row r="111" spans="2:19">
      <c r="B111" s="210" t="str">
        <f>IF(COUNTA(C111)=1,MAX(B$107:B110)+1,"")</f>
        <v/>
      </c>
      <c r="C111" s="808"/>
      <c r="D111" s="809"/>
      <c r="E111" s="809"/>
      <c r="F111" s="809"/>
      <c r="G111" s="809"/>
      <c r="H111" s="810"/>
      <c r="I111" s="808"/>
      <c r="J111" s="809"/>
      <c r="K111" s="809"/>
      <c r="L111" s="809"/>
      <c r="M111" s="809"/>
      <c r="N111" s="809"/>
      <c r="O111" s="811"/>
      <c r="P111" s="812"/>
      <c r="Q111" s="812"/>
      <c r="R111" s="807">
        <f t="shared" si="2"/>
        <v>0</v>
      </c>
      <c r="S111" s="1174"/>
    </row>
    <row r="112" spans="2:19">
      <c r="B112" s="210" t="str">
        <f>IF(COUNTA(C112)=1,MAX(B$107:B111)+1,"")</f>
        <v/>
      </c>
      <c r="C112" s="808"/>
      <c r="D112" s="809"/>
      <c r="E112" s="809"/>
      <c r="F112" s="809"/>
      <c r="G112" s="809"/>
      <c r="H112" s="810"/>
      <c r="I112" s="808"/>
      <c r="J112" s="809"/>
      <c r="K112" s="809"/>
      <c r="L112" s="809"/>
      <c r="M112" s="809"/>
      <c r="N112" s="809"/>
      <c r="O112" s="811"/>
      <c r="P112" s="812"/>
      <c r="Q112" s="812"/>
      <c r="R112" s="807">
        <f t="shared" si="2"/>
        <v>0</v>
      </c>
      <c r="S112" s="1174"/>
    </row>
    <row r="113" spans="2:19">
      <c r="B113" s="210" t="str">
        <f>IF(COUNTA(C113)=1,MAX(B$107:B112)+1,"")</f>
        <v/>
      </c>
      <c r="C113" s="808"/>
      <c r="D113" s="809"/>
      <c r="E113" s="809"/>
      <c r="F113" s="809"/>
      <c r="G113" s="809"/>
      <c r="H113" s="810"/>
      <c r="I113" s="808"/>
      <c r="J113" s="809"/>
      <c r="K113" s="809"/>
      <c r="L113" s="809"/>
      <c r="M113" s="809"/>
      <c r="N113" s="809"/>
      <c r="O113" s="811"/>
      <c r="P113" s="812"/>
      <c r="Q113" s="812"/>
      <c r="R113" s="807">
        <f t="shared" si="2"/>
        <v>0</v>
      </c>
      <c r="S113" s="1174"/>
    </row>
    <row r="114" spans="2:19">
      <c r="B114" s="210" t="str">
        <f>IF(COUNTA(C114)=1,MAX(B$107:B113)+1,"")</f>
        <v/>
      </c>
      <c r="C114" s="808"/>
      <c r="D114" s="809"/>
      <c r="E114" s="809"/>
      <c r="F114" s="809"/>
      <c r="G114" s="809"/>
      <c r="H114" s="810"/>
      <c r="I114" s="808"/>
      <c r="J114" s="809"/>
      <c r="K114" s="809"/>
      <c r="L114" s="809"/>
      <c r="M114" s="809"/>
      <c r="N114" s="809"/>
      <c r="O114" s="811"/>
      <c r="P114" s="812"/>
      <c r="Q114" s="812"/>
      <c r="R114" s="807">
        <f t="shared" si="2"/>
        <v>0</v>
      </c>
      <c r="S114" s="1174"/>
    </row>
    <row r="115" spans="2:19">
      <c r="B115" s="210" t="str">
        <f>IF(COUNTA(C115)=1,MAX(B$107:B114)+1,"")</f>
        <v/>
      </c>
      <c r="C115" s="808"/>
      <c r="D115" s="809"/>
      <c r="E115" s="809"/>
      <c r="F115" s="809"/>
      <c r="G115" s="809"/>
      <c r="H115" s="810"/>
      <c r="I115" s="808"/>
      <c r="J115" s="809"/>
      <c r="K115" s="809"/>
      <c r="L115" s="809"/>
      <c r="M115" s="809"/>
      <c r="N115" s="809"/>
      <c r="O115" s="811"/>
      <c r="P115" s="812"/>
      <c r="Q115" s="812"/>
      <c r="R115" s="807">
        <f t="shared" si="2"/>
        <v>0</v>
      </c>
      <c r="S115" s="1174"/>
    </row>
    <row r="116" spans="2:19">
      <c r="B116" s="210" t="str">
        <f>IF(COUNTA(C116)=1,MAX(B$107:B115)+1,"")</f>
        <v/>
      </c>
      <c r="C116" s="808"/>
      <c r="D116" s="809"/>
      <c r="E116" s="809"/>
      <c r="F116" s="809"/>
      <c r="G116" s="809"/>
      <c r="H116" s="810"/>
      <c r="I116" s="808"/>
      <c r="J116" s="809"/>
      <c r="K116" s="809"/>
      <c r="L116" s="809"/>
      <c r="M116" s="809"/>
      <c r="N116" s="809"/>
      <c r="O116" s="811">
        <v>0</v>
      </c>
      <c r="P116" s="812"/>
      <c r="Q116" s="812">
        <v>0</v>
      </c>
      <c r="R116" s="807">
        <f t="shared" si="2"/>
        <v>0</v>
      </c>
      <c r="S116" s="1174"/>
    </row>
    <row r="117" spans="2:19">
      <c r="B117" s="210" t="str">
        <f>IF(COUNTA(C117)=1,MAX(B$107:B116)+1,"")</f>
        <v/>
      </c>
      <c r="C117" s="808"/>
      <c r="D117" s="809"/>
      <c r="E117" s="809"/>
      <c r="F117" s="809"/>
      <c r="G117" s="809"/>
      <c r="H117" s="810"/>
      <c r="I117" s="808"/>
      <c r="J117" s="809"/>
      <c r="K117" s="809"/>
      <c r="L117" s="809"/>
      <c r="M117" s="809"/>
      <c r="N117" s="809"/>
      <c r="O117" s="811">
        <v>0</v>
      </c>
      <c r="P117" s="812"/>
      <c r="Q117" s="812">
        <v>0</v>
      </c>
      <c r="R117" s="807">
        <f t="shared" si="2"/>
        <v>0</v>
      </c>
      <c r="S117" s="1174"/>
    </row>
    <row r="118" spans="2:19">
      <c r="B118" s="210" t="str">
        <f>IF(COUNTA(C118)=1,MAX(B$107:B117)+1,"")</f>
        <v/>
      </c>
      <c r="C118" s="808"/>
      <c r="D118" s="809"/>
      <c r="E118" s="809"/>
      <c r="F118" s="809"/>
      <c r="G118" s="809"/>
      <c r="H118" s="810"/>
      <c r="I118" s="808"/>
      <c r="J118" s="809"/>
      <c r="K118" s="809"/>
      <c r="L118" s="809"/>
      <c r="M118" s="809"/>
      <c r="N118" s="809"/>
      <c r="O118" s="811">
        <v>0</v>
      </c>
      <c r="P118" s="812"/>
      <c r="Q118" s="812">
        <v>0</v>
      </c>
      <c r="R118" s="807">
        <f t="shared" si="2"/>
        <v>0</v>
      </c>
      <c r="S118" s="1174"/>
    </row>
    <row r="119" spans="2:19">
      <c r="B119" s="210" t="str">
        <f>IF(COUNTA(C119)=1,MAX(B$107:B118)+1,"")</f>
        <v/>
      </c>
      <c r="C119" s="808"/>
      <c r="D119" s="809"/>
      <c r="E119" s="809"/>
      <c r="F119" s="809"/>
      <c r="G119" s="809"/>
      <c r="H119" s="810"/>
      <c r="I119" s="808"/>
      <c r="J119" s="809"/>
      <c r="K119" s="809"/>
      <c r="L119" s="809"/>
      <c r="M119" s="809"/>
      <c r="N119" s="809"/>
      <c r="O119" s="811">
        <v>0</v>
      </c>
      <c r="P119" s="812"/>
      <c r="Q119" s="812">
        <v>0</v>
      </c>
      <c r="R119" s="807">
        <f t="shared" si="2"/>
        <v>0</v>
      </c>
      <c r="S119" s="1174"/>
    </row>
    <row r="120" spans="2:19">
      <c r="B120" s="210" t="str">
        <f>IF(COUNTA(C120)=1,MAX(B$107:B119)+1,"")</f>
        <v/>
      </c>
      <c r="C120" s="808"/>
      <c r="D120" s="809"/>
      <c r="E120" s="809"/>
      <c r="F120" s="809"/>
      <c r="G120" s="809"/>
      <c r="H120" s="810"/>
      <c r="I120" s="808"/>
      <c r="J120" s="809"/>
      <c r="K120" s="809"/>
      <c r="L120" s="809"/>
      <c r="M120" s="809"/>
      <c r="N120" s="809"/>
      <c r="O120" s="811">
        <v>0</v>
      </c>
      <c r="P120" s="812"/>
      <c r="Q120" s="812">
        <v>0</v>
      </c>
      <c r="R120" s="807">
        <f t="shared" si="2"/>
        <v>0</v>
      </c>
      <c r="S120" s="1174"/>
    </row>
    <row r="121" spans="2:19">
      <c r="B121" s="210" t="str">
        <f>IF(COUNTA(C121)=1,MAX(B$107:B120)+1,"")</f>
        <v/>
      </c>
      <c r="C121" s="808"/>
      <c r="D121" s="809"/>
      <c r="E121" s="809"/>
      <c r="F121" s="809"/>
      <c r="G121" s="809"/>
      <c r="H121" s="810"/>
      <c r="I121" s="808"/>
      <c r="J121" s="809"/>
      <c r="K121" s="809"/>
      <c r="L121" s="809"/>
      <c r="M121" s="809"/>
      <c r="N121" s="809"/>
      <c r="O121" s="811">
        <v>0</v>
      </c>
      <c r="P121" s="812"/>
      <c r="Q121" s="812">
        <v>0</v>
      </c>
      <c r="R121" s="807">
        <f t="shared" si="2"/>
        <v>0</v>
      </c>
      <c r="S121" s="1174"/>
    </row>
    <row r="122" spans="2:19">
      <c r="B122" s="210" t="str">
        <f>IF(COUNTA(C122)=1,MAX(B$107:B121)+1,"")</f>
        <v/>
      </c>
      <c r="C122" s="808"/>
      <c r="D122" s="809"/>
      <c r="E122" s="809"/>
      <c r="F122" s="809"/>
      <c r="G122" s="809"/>
      <c r="H122" s="810"/>
      <c r="I122" s="808"/>
      <c r="J122" s="809"/>
      <c r="K122" s="809"/>
      <c r="L122" s="809"/>
      <c r="M122" s="809"/>
      <c r="N122" s="809"/>
      <c r="O122" s="811">
        <v>0</v>
      </c>
      <c r="P122" s="812"/>
      <c r="Q122" s="812">
        <v>0</v>
      </c>
      <c r="R122" s="807">
        <f t="shared" si="2"/>
        <v>0</v>
      </c>
      <c r="S122" s="1174"/>
    </row>
    <row r="123" spans="2:19">
      <c r="B123" s="210" t="str">
        <f>IF(COUNTA(C123)=1,MAX(B$107:B122)+1,"")</f>
        <v/>
      </c>
      <c r="C123" s="808"/>
      <c r="D123" s="809"/>
      <c r="E123" s="809"/>
      <c r="F123" s="809"/>
      <c r="G123" s="809"/>
      <c r="H123" s="810"/>
      <c r="I123" s="808"/>
      <c r="J123" s="809"/>
      <c r="K123" s="809"/>
      <c r="L123" s="809"/>
      <c r="M123" s="809"/>
      <c r="N123" s="809"/>
      <c r="O123" s="811">
        <v>0</v>
      </c>
      <c r="P123" s="812"/>
      <c r="Q123" s="812">
        <v>0</v>
      </c>
      <c r="R123" s="807">
        <f t="shared" si="2"/>
        <v>0</v>
      </c>
      <c r="S123" s="1174"/>
    </row>
    <row r="124" spans="2:19">
      <c r="B124" s="210" t="str">
        <f>IF(COUNTA(C124)=1,MAX(B$107:B123)+1,"")</f>
        <v/>
      </c>
      <c r="C124" s="808"/>
      <c r="D124" s="809"/>
      <c r="E124" s="809"/>
      <c r="F124" s="809"/>
      <c r="G124" s="809"/>
      <c r="H124" s="810"/>
      <c r="I124" s="808"/>
      <c r="J124" s="809"/>
      <c r="K124" s="809"/>
      <c r="L124" s="809"/>
      <c r="M124" s="809"/>
      <c r="N124" s="809"/>
      <c r="O124" s="811">
        <v>0</v>
      </c>
      <c r="P124" s="812"/>
      <c r="Q124" s="812">
        <v>0</v>
      </c>
      <c r="R124" s="807">
        <f t="shared" si="2"/>
        <v>0</v>
      </c>
      <c r="S124" s="1174"/>
    </row>
    <row r="125" spans="2:19">
      <c r="B125" s="210" t="str">
        <f>IF(COUNTA(C125)=1,MAX(B$107:B124)+1,"")</f>
        <v/>
      </c>
      <c r="C125" s="808"/>
      <c r="D125" s="809"/>
      <c r="E125" s="809"/>
      <c r="F125" s="809"/>
      <c r="G125" s="809"/>
      <c r="H125" s="810"/>
      <c r="I125" s="808"/>
      <c r="J125" s="809"/>
      <c r="K125" s="809"/>
      <c r="L125" s="809"/>
      <c r="M125" s="809"/>
      <c r="N125" s="809"/>
      <c r="O125" s="811">
        <v>0</v>
      </c>
      <c r="P125" s="812"/>
      <c r="Q125" s="812">
        <v>0</v>
      </c>
      <c r="R125" s="807">
        <f t="shared" si="2"/>
        <v>0</v>
      </c>
      <c r="S125" s="1174"/>
    </row>
    <row r="126" spans="2:19">
      <c r="B126" s="210" t="str">
        <f>IF(COUNTA(C126)=1,MAX(B$107:B125)+1,"")</f>
        <v/>
      </c>
      <c r="C126" s="808"/>
      <c r="D126" s="809"/>
      <c r="E126" s="809"/>
      <c r="F126" s="809"/>
      <c r="G126" s="809"/>
      <c r="H126" s="810"/>
      <c r="I126" s="808"/>
      <c r="J126" s="809"/>
      <c r="K126" s="809"/>
      <c r="L126" s="809"/>
      <c r="M126" s="809"/>
      <c r="N126" s="809"/>
      <c r="O126" s="811">
        <v>0</v>
      </c>
      <c r="P126" s="812"/>
      <c r="Q126" s="812">
        <v>0</v>
      </c>
      <c r="R126" s="807">
        <f t="shared" si="2"/>
        <v>0</v>
      </c>
      <c r="S126" s="1174"/>
    </row>
    <row r="127" spans="2:19">
      <c r="B127" s="210" t="str">
        <f>IF(COUNTA(C127)=1,MAX(B$107:B126)+1,"")</f>
        <v/>
      </c>
      <c r="C127" s="808"/>
      <c r="D127" s="809"/>
      <c r="E127" s="809"/>
      <c r="F127" s="809"/>
      <c r="G127" s="809"/>
      <c r="H127" s="810"/>
      <c r="I127" s="808"/>
      <c r="J127" s="809"/>
      <c r="K127" s="809"/>
      <c r="L127" s="809"/>
      <c r="M127" s="809"/>
      <c r="N127" s="809"/>
      <c r="O127" s="811">
        <v>0</v>
      </c>
      <c r="P127" s="812"/>
      <c r="Q127" s="812">
        <v>0</v>
      </c>
      <c r="R127" s="807">
        <f t="shared" si="2"/>
        <v>0</v>
      </c>
      <c r="S127" s="1174"/>
    </row>
    <row r="128" spans="2:19">
      <c r="B128" s="210" t="str">
        <f>IF(COUNTA(C128)=1,MAX(B$107:B127)+1,"")</f>
        <v/>
      </c>
      <c r="C128" s="808"/>
      <c r="D128" s="809"/>
      <c r="E128" s="809"/>
      <c r="F128" s="809"/>
      <c r="G128" s="809"/>
      <c r="H128" s="810"/>
      <c r="I128" s="808"/>
      <c r="J128" s="809"/>
      <c r="K128" s="809"/>
      <c r="L128" s="809"/>
      <c r="M128" s="809"/>
      <c r="N128" s="809"/>
      <c r="O128" s="811">
        <v>0</v>
      </c>
      <c r="P128" s="812"/>
      <c r="Q128" s="812">
        <v>0</v>
      </c>
      <c r="R128" s="807">
        <f t="shared" si="2"/>
        <v>0</v>
      </c>
      <c r="S128" s="1174"/>
    </row>
    <row r="129" spans="2:19">
      <c r="B129" s="210" t="str">
        <f>IF(COUNTA(C129)=1,MAX(B$107:B128)+1,"")</f>
        <v/>
      </c>
      <c r="C129" s="808"/>
      <c r="D129" s="809"/>
      <c r="E129" s="809"/>
      <c r="F129" s="809"/>
      <c r="G129" s="809"/>
      <c r="H129" s="810"/>
      <c r="I129" s="808"/>
      <c r="J129" s="809"/>
      <c r="K129" s="809"/>
      <c r="L129" s="809"/>
      <c r="M129" s="809"/>
      <c r="N129" s="809"/>
      <c r="O129" s="811">
        <v>0</v>
      </c>
      <c r="P129" s="812"/>
      <c r="Q129" s="812">
        <v>0</v>
      </c>
      <c r="R129" s="807">
        <f t="shared" si="2"/>
        <v>0</v>
      </c>
      <c r="S129" s="1174"/>
    </row>
    <row r="130" spans="2:19">
      <c r="B130" s="210" t="str">
        <f>IF(COUNTA(C130)=1,MAX(B$107:B129)+1,"")</f>
        <v/>
      </c>
      <c r="C130" s="808"/>
      <c r="D130" s="809"/>
      <c r="E130" s="809"/>
      <c r="F130" s="809"/>
      <c r="G130" s="809"/>
      <c r="H130" s="810"/>
      <c r="I130" s="808"/>
      <c r="J130" s="809"/>
      <c r="K130" s="809"/>
      <c r="L130" s="809"/>
      <c r="M130" s="809"/>
      <c r="N130" s="809"/>
      <c r="O130" s="811">
        <v>0</v>
      </c>
      <c r="P130" s="812"/>
      <c r="Q130" s="812">
        <v>0</v>
      </c>
      <c r="R130" s="807">
        <f t="shared" si="2"/>
        <v>0</v>
      </c>
      <c r="S130" s="1174"/>
    </row>
    <row r="131" spans="2:19">
      <c r="B131" s="210" t="str">
        <f>IF(COUNTA(C131)=1,MAX(B$107:B130)+1,"")</f>
        <v/>
      </c>
      <c r="C131" s="808"/>
      <c r="D131" s="809"/>
      <c r="E131" s="809"/>
      <c r="F131" s="809"/>
      <c r="G131" s="809"/>
      <c r="H131" s="810"/>
      <c r="I131" s="808"/>
      <c r="J131" s="809"/>
      <c r="K131" s="809"/>
      <c r="L131" s="809"/>
      <c r="M131" s="809"/>
      <c r="N131" s="809"/>
      <c r="O131" s="811">
        <v>0</v>
      </c>
      <c r="P131" s="812"/>
      <c r="Q131" s="812">
        <v>0</v>
      </c>
      <c r="R131" s="807">
        <f t="shared" si="2"/>
        <v>0</v>
      </c>
      <c r="S131" s="1174"/>
    </row>
    <row r="132" spans="2:19">
      <c r="B132" s="210" t="str">
        <f>IF(COUNTA(C132)=1,MAX(B$107:B131)+1,"")</f>
        <v/>
      </c>
      <c r="C132" s="808"/>
      <c r="D132" s="809"/>
      <c r="E132" s="809"/>
      <c r="F132" s="809"/>
      <c r="G132" s="809"/>
      <c r="H132" s="810"/>
      <c r="I132" s="808"/>
      <c r="J132" s="809"/>
      <c r="K132" s="809"/>
      <c r="L132" s="809"/>
      <c r="M132" s="809"/>
      <c r="N132" s="809"/>
      <c r="O132" s="811">
        <v>0</v>
      </c>
      <c r="P132" s="812"/>
      <c r="Q132" s="812">
        <v>0</v>
      </c>
      <c r="R132" s="807">
        <f t="shared" si="2"/>
        <v>0</v>
      </c>
      <c r="S132" s="1174"/>
    </row>
    <row r="133" spans="2:19">
      <c r="B133" s="210" t="str">
        <f>IF(COUNTA(C133)=1,MAX(B$107:B132)+1,"")</f>
        <v/>
      </c>
      <c r="C133" s="808"/>
      <c r="D133" s="809"/>
      <c r="E133" s="809"/>
      <c r="F133" s="809"/>
      <c r="G133" s="809"/>
      <c r="H133" s="810"/>
      <c r="I133" s="808"/>
      <c r="J133" s="809"/>
      <c r="K133" s="809"/>
      <c r="L133" s="809"/>
      <c r="M133" s="809"/>
      <c r="N133" s="809"/>
      <c r="O133" s="811">
        <v>0</v>
      </c>
      <c r="P133" s="812"/>
      <c r="Q133" s="812">
        <v>0</v>
      </c>
      <c r="R133" s="807">
        <f t="shared" si="2"/>
        <v>0</v>
      </c>
      <c r="S133" s="1174"/>
    </row>
    <row r="134" spans="2:19">
      <c r="B134" s="210" t="str">
        <f>IF(COUNTA(C134)=1,MAX(B$107:B133)+1,"")</f>
        <v/>
      </c>
      <c r="C134" s="808"/>
      <c r="D134" s="809"/>
      <c r="E134" s="809"/>
      <c r="F134" s="809"/>
      <c r="G134" s="809"/>
      <c r="H134" s="810"/>
      <c r="I134" s="808"/>
      <c r="J134" s="809"/>
      <c r="K134" s="809"/>
      <c r="L134" s="809"/>
      <c r="M134" s="809"/>
      <c r="N134" s="809"/>
      <c r="O134" s="811">
        <v>0</v>
      </c>
      <c r="P134" s="812"/>
      <c r="Q134" s="812">
        <v>0</v>
      </c>
      <c r="R134" s="807">
        <f t="shared" si="2"/>
        <v>0</v>
      </c>
      <c r="S134" s="1174"/>
    </row>
    <row r="135" spans="2:19">
      <c r="B135" s="210" t="str">
        <f>IF(COUNTA(C135)=1,MAX(B$107:B134)+1,"")</f>
        <v/>
      </c>
      <c r="C135" s="808"/>
      <c r="D135" s="809"/>
      <c r="E135" s="809"/>
      <c r="F135" s="809"/>
      <c r="G135" s="809"/>
      <c r="H135" s="810"/>
      <c r="I135" s="808"/>
      <c r="J135" s="809"/>
      <c r="K135" s="809"/>
      <c r="L135" s="809"/>
      <c r="M135" s="809"/>
      <c r="N135" s="809"/>
      <c r="O135" s="811">
        <v>0</v>
      </c>
      <c r="P135" s="812"/>
      <c r="Q135" s="812">
        <v>0</v>
      </c>
      <c r="R135" s="807">
        <f t="shared" si="2"/>
        <v>0</v>
      </c>
      <c r="S135" s="1174"/>
    </row>
    <row r="136" spans="2:19">
      <c r="B136" s="210" t="str">
        <f>IF(COUNTA(C136)=1,MAX(B$107:B135)+1,"")</f>
        <v/>
      </c>
      <c r="C136" s="808"/>
      <c r="D136" s="809"/>
      <c r="E136" s="809"/>
      <c r="F136" s="809"/>
      <c r="G136" s="809"/>
      <c r="H136" s="810"/>
      <c r="I136" s="808"/>
      <c r="J136" s="809"/>
      <c r="K136" s="809"/>
      <c r="L136" s="809"/>
      <c r="M136" s="809"/>
      <c r="N136" s="809"/>
      <c r="O136" s="811">
        <v>0</v>
      </c>
      <c r="P136" s="812"/>
      <c r="Q136" s="812">
        <v>0</v>
      </c>
      <c r="R136" s="807">
        <f t="shared" si="2"/>
        <v>0</v>
      </c>
      <c r="S136" s="1174"/>
    </row>
    <row r="137" spans="2:19">
      <c r="B137" s="210" t="str">
        <f>IF(COUNTA(C137)=1,MAX(B$107:B136)+1,"")</f>
        <v/>
      </c>
      <c r="C137" s="808"/>
      <c r="D137" s="809"/>
      <c r="E137" s="809"/>
      <c r="F137" s="809"/>
      <c r="G137" s="809"/>
      <c r="H137" s="810"/>
      <c r="I137" s="808"/>
      <c r="J137" s="809"/>
      <c r="K137" s="809"/>
      <c r="L137" s="809"/>
      <c r="M137" s="809"/>
      <c r="N137" s="809"/>
      <c r="O137" s="811">
        <v>0</v>
      </c>
      <c r="P137" s="812"/>
      <c r="Q137" s="812">
        <v>0</v>
      </c>
      <c r="R137" s="807">
        <f t="shared" si="2"/>
        <v>0</v>
      </c>
      <c r="S137" s="1174"/>
    </row>
    <row r="138" spans="2:19">
      <c r="B138" s="210" t="str">
        <f>IF(COUNTA(C138)=1,MAX(B$107:B137)+1,"")</f>
        <v/>
      </c>
      <c r="C138" s="808"/>
      <c r="D138" s="809"/>
      <c r="E138" s="809"/>
      <c r="F138" s="809"/>
      <c r="G138" s="809"/>
      <c r="H138" s="810"/>
      <c r="I138" s="808"/>
      <c r="J138" s="809"/>
      <c r="K138" s="809"/>
      <c r="L138" s="809"/>
      <c r="M138" s="809"/>
      <c r="N138" s="809"/>
      <c r="O138" s="811">
        <v>0</v>
      </c>
      <c r="P138" s="812"/>
      <c r="Q138" s="812">
        <v>0</v>
      </c>
      <c r="R138" s="807">
        <f t="shared" si="2"/>
        <v>0</v>
      </c>
      <c r="S138" s="1174"/>
    </row>
    <row r="139" spans="2:19">
      <c r="B139" s="210" t="str">
        <f>IF(COUNTA(C139)=1,MAX(B$107:B138)+1,"")</f>
        <v/>
      </c>
      <c r="C139" s="808"/>
      <c r="D139" s="809"/>
      <c r="E139" s="809"/>
      <c r="F139" s="809"/>
      <c r="G139" s="809"/>
      <c r="H139" s="810"/>
      <c r="I139" s="808"/>
      <c r="J139" s="809"/>
      <c r="K139" s="809"/>
      <c r="L139" s="809"/>
      <c r="M139" s="809"/>
      <c r="N139" s="809"/>
      <c r="O139" s="811">
        <v>0</v>
      </c>
      <c r="P139" s="812"/>
      <c r="Q139" s="812">
        <v>0</v>
      </c>
      <c r="R139" s="807">
        <f t="shared" si="2"/>
        <v>0</v>
      </c>
      <c r="S139" s="1174"/>
    </row>
    <row r="140" spans="2:19">
      <c r="B140" s="210" t="str">
        <f>IF(COUNTA(C140)=1,MAX(B$107:B139)+1,"")</f>
        <v/>
      </c>
      <c r="C140" s="808"/>
      <c r="D140" s="809"/>
      <c r="E140" s="809"/>
      <c r="F140" s="809"/>
      <c r="G140" s="809"/>
      <c r="H140" s="810"/>
      <c r="I140" s="808"/>
      <c r="J140" s="809"/>
      <c r="K140" s="809"/>
      <c r="L140" s="809"/>
      <c r="M140" s="809"/>
      <c r="N140" s="809"/>
      <c r="O140" s="811">
        <v>0</v>
      </c>
      <c r="P140" s="812"/>
      <c r="Q140" s="812">
        <v>0</v>
      </c>
      <c r="R140" s="807">
        <f t="shared" si="2"/>
        <v>0</v>
      </c>
      <c r="S140" s="1174"/>
    </row>
    <row r="141" spans="2:19">
      <c r="B141" s="210" t="str">
        <f>IF(COUNTA(C141)=1,MAX(B$107:B140)+1,"")</f>
        <v/>
      </c>
      <c r="C141" s="808"/>
      <c r="D141" s="809"/>
      <c r="E141" s="809"/>
      <c r="F141" s="809"/>
      <c r="G141" s="809"/>
      <c r="H141" s="810"/>
      <c r="I141" s="808"/>
      <c r="J141" s="809"/>
      <c r="K141" s="809"/>
      <c r="L141" s="809"/>
      <c r="M141" s="809"/>
      <c r="N141" s="809"/>
      <c r="O141" s="811">
        <v>0</v>
      </c>
      <c r="P141" s="812"/>
      <c r="Q141" s="812">
        <v>0</v>
      </c>
      <c r="R141" s="807">
        <f t="shared" si="2"/>
        <v>0</v>
      </c>
      <c r="S141" s="1174"/>
    </row>
    <row r="142" spans="2:19">
      <c r="B142" s="210" t="str">
        <f>IF(COUNTA(C142)=1,MAX(B$107:B141)+1,"")</f>
        <v/>
      </c>
      <c r="C142" s="808"/>
      <c r="D142" s="809"/>
      <c r="E142" s="809"/>
      <c r="F142" s="809"/>
      <c r="G142" s="809"/>
      <c r="H142" s="810"/>
      <c r="I142" s="808"/>
      <c r="J142" s="809"/>
      <c r="K142" s="809"/>
      <c r="L142" s="809"/>
      <c r="M142" s="809"/>
      <c r="N142" s="809"/>
      <c r="O142" s="811">
        <v>0</v>
      </c>
      <c r="P142" s="812"/>
      <c r="Q142" s="812">
        <v>0</v>
      </c>
      <c r="R142" s="807">
        <f t="shared" si="2"/>
        <v>0</v>
      </c>
      <c r="S142" s="1174"/>
    </row>
    <row r="143" spans="2:19">
      <c r="B143" s="210" t="str">
        <f>IF(COUNTA(C143)=1,MAX(B$107:B142)+1,"")</f>
        <v/>
      </c>
      <c r="C143" s="808"/>
      <c r="D143" s="809"/>
      <c r="E143" s="809"/>
      <c r="F143" s="809"/>
      <c r="G143" s="809"/>
      <c r="H143" s="810"/>
      <c r="I143" s="808"/>
      <c r="J143" s="809"/>
      <c r="K143" s="809"/>
      <c r="L143" s="809"/>
      <c r="M143" s="809"/>
      <c r="N143" s="809"/>
      <c r="O143" s="811">
        <v>0</v>
      </c>
      <c r="P143" s="812"/>
      <c r="Q143" s="812">
        <v>0</v>
      </c>
      <c r="R143" s="807">
        <f t="shared" si="2"/>
        <v>0</v>
      </c>
      <c r="S143" s="1174"/>
    </row>
    <row r="144" spans="2:19">
      <c r="B144" s="210" t="str">
        <f>IF(COUNTA(C144)=1,MAX(B$107:B143)+1,"")</f>
        <v/>
      </c>
      <c r="C144" s="808"/>
      <c r="D144" s="809"/>
      <c r="E144" s="809"/>
      <c r="F144" s="809"/>
      <c r="G144" s="809"/>
      <c r="H144" s="810"/>
      <c r="I144" s="808"/>
      <c r="J144" s="809"/>
      <c r="K144" s="809"/>
      <c r="L144" s="809"/>
      <c r="M144" s="809"/>
      <c r="N144" s="809"/>
      <c r="O144" s="811">
        <v>0</v>
      </c>
      <c r="P144" s="812"/>
      <c r="Q144" s="812">
        <v>0</v>
      </c>
      <c r="R144" s="807">
        <f t="shared" si="2"/>
        <v>0</v>
      </c>
      <c r="S144" s="1174"/>
    </row>
    <row r="145" spans="2:19">
      <c r="B145" s="210" t="str">
        <f>IF(COUNTA(C145)=1,MAX(B$107:B144)+1,"")</f>
        <v/>
      </c>
      <c r="C145" s="808"/>
      <c r="D145" s="809"/>
      <c r="E145" s="809"/>
      <c r="F145" s="809"/>
      <c r="G145" s="809"/>
      <c r="H145" s="810"/>
      <c r="I145" s="808"/>
      <c r="J145" s="809"/>
      <c r="K145" s="809"/>
      <c r="L145" s="809"/>
      <c r="M145" s="809"/>
      <c r="N145" s="809"/>
      <c r="O145" s="811">
        <v>0</v>
      </c>
      <c r="P145" s="812"/>
      <c r="Q145" s="812">
        <v>0</v>
      </c>
      <c r="R145" s="807">
        <f t="shared" si="2"/>
        <v>0</v>
      </c>
      <c r="S145" s="1174"/>
    </row>
    <row r="146" spans="2:19">
      <c r="B146" s="210" t="str">
        <f>IF(COUNTA(C146)=1,MAX(B$107:B145)+1,"")</f>
        <v/>
      </c>
      <c r="C146" s="808"/>
      <c r="D146" s="809"/>
      <c r="E146" s="809"/>
      <c r="F146" s="809"/>
      <c r="G146" s="809"/>
      <c r="H146" s="810"/>
      <c r="I146" s="808"/>
      <c r="J146" s="809"/>
      <c r="K146" s="809"/>
      <c r="L146" s="809"/>
      <c r="M146" s="809"/>
      <c r="N146" s="809"/>
      <c r="O146" s="811">
        <v>0</v>
      </c>
      <c r="P146" s="812"/>
      <c r="Q146" s="812">
        <v>0</v>
      </c>
      <c r="R146" s="807">
        <f t="shared" si="2"/>
        <v>0</v>
      </c>
      <c r="S146" s="1174"/>
    </row>
    <row r="147" spans="2:19">
      <c r="B147" s="210" t="str">
        <f>IF(COUNTA(C147)=1,MAX(B$107:B146)+1,"")</f>
        <v/>
      </c>
      <c r="C147" s="808"/>
      <c r="D147" s="809"/>
      <c r="E147" s="809"/>
      <c r="F147" s="809"/>
      <c r="G147" s="809"/>
      <c r="H147" s="810"/>
      <c r="I147" s="808"/>
      <c r="J147" s="809"/>
      <c r="K147" s="809"/>
      <c r="L147" s="809"/>
      <c r="M147" s="809"/>
      <c r="N147" s="809"/>
      <c r="O147" s="811">
        <v>0</v>
      </c>
      <c r="P147" s="812"/>
      <c r="Q147" s="812">
        <v>0</v>
      </c>
      <c r="R147" s="807">
        <f t="shared" si="2"/>
        <v>0</v>
      </c>
      <c r="S147" s="1174"/>
    </row>
    <row r="148" spans="2:19">
      <c r="B148" s="210" t="str">
        <f>IF(COUNTA(C148)=1,MAX(B$107:B147)+1,"")</f>
        <v/>
      </c>
      <c r="C148" s="808"/>
      <c r="D148" s="809"/>
      <c r="E148" s="809"/>
      <c r="F148" s="809"/>
      <c r="G148" s="809"/>
      <c r="H148" s="810"/>
      <c r="I148" s="808"/>
      <c r="J148" s="809"/>
      <c r="K148" s="809"/>
      <c r="L148" s="809"/>
      <c r="M148" s="809"/>
      <c r="N148" s="809"/>
      <c r="O148" s="811">
        <v>0</v>
      </c>
      <c r="P148" s="812"/>
      <c r="Q148" s="812">
        <v>0</v>
      </c>
      <c r="R148" s="807">
        <f t="shared" si="2"/>
        <v>0</v>
      </c>
      <c r="S148" s="1174"/>
    </row>
    <row r="149" spans="2:19">
      <c r="B149" s="210" t="str">
        <f>IF(COUNTA(C149)=1,MAX(B$107:B148)+1,"")</f>
        <v/>
      </c>
      <c r="C149" s="808"/>
      <c r="D149" s="809"/>
      <c r="E149" s="809"/>
      <c r="F149" s="809"/>
      <c r="G149" s="809"/>
      <c r="H149" s="810"/>
      <c r="I149" s="808"/>
      <c r="J149" s="809"/>
      <c r="K149" s="809"/>
      <c r="L149" s="809"/>
      <c r="M149" s="809"/>
      <c r="N149" s="809"/>
      <c r="O149" s="811">
        <v>0</v>
      </c>
      <c r="P149" s="812"/>
      <c r="Q149" s="812">
        <v>0</v>
      </c>
      <c r="R149" s="807">
        <f t="shared" si="2"/>
        <v>0</v>
      </c>
      <c r="S149" s="1174"/>
    </row>
    <row r="150" spans="2:19">
      <c r="B150" s="210" t="str">
        <f>IF(COUNTA(C150)=1,MAX(B$107:B149)+1,"")</f>
        <v/>
      </c>
      <c r="C150" s="808"/>
      <c r="D150" s="809"/>
      <c r="E150" s="809"/>
      <c r="F150" s="809"/>
      <c r="G150" s="809"/>
      <c r="H150" s="810"/>
      <c r="I150" s="808"/>
      <c r="J150" s="809"/>
      <c r="K150" s="809"/>
      <c r="L150" s="809"/>
      <c r="M150" s="809"/>
      <c r="N150" s="809"/>
      <c r="O150" s="811">
        <v>0</v>
      </c>
      <c r="P150" s="812"/>
      <c r="Q150" s="812">
        <v>0</v>
      </c>
      <c r="R150" s="807">
        <f t="shared" si="2"/>
        <v>0</v>
      </c>
      <c r="S150" s="1174"/>
    </row>
    <row r="151" spans="2:19">
      <c r="B151" s="210" t="str">
        <f>IF(COUNTA(C151)=1,MAX(B$107:B150)+1,"")</f>
        <v/>
      </c>
      <c r="C151" s="808"/>
      <c r="D151" s="809"/>
      <c r="E151" s="809"/>
      <c r="F151" s="809"/>
      <c r="G151" s="809"/>
      <c r="H151" s="810"/>
      <c r="I151" s="808"/>
      <c r="J151" s="809"/>
      <c r="K151" s="809"/>
      <c r="L151" s="809"/>
      <c r="M151" s="809"/>
      <c r="N151" s="809"/>
      <c r="O151" s="811">
        <v>0</v>
      </c>
      <c r="P151" s="812"/>
      <c r="Q151" s="812">
        <v>0</v>
      </c>
      <c r="R151" s="807">
        <f t="shared" si="2"/>
        <v>0</v>
      </c>
      <c r="S151" s="1174"/>
    </row>
    <row r="152" spans="2:19">
      <c r="B152" s="210" t="str">
        <f>IF(COUNTA(C152)=1,MAX(B$107:B151)+1,"")</f>
        <v/>
      </c>
      <c r="C152" s="808"/>
      <c r="D152" s="809"/>
      <c r="E152" s="809"/>
      <c r="F152" s="809"/>
      <c r="G152" s="809"/>
      <c r="H152" s="810"/>
      <c r="I152" s="808"/>
      <c r="J152" s="809"/>
      <c r="K152" s="809"/>
      <c r="L152" s="809"/>
      <c r="M152" s="809"/>
      <c r="N152" s="809"/>
      <c r="O152" s="811">
        <v>0</v>
      </c>
      <c r="P152" s="812"/>
      <c r="Q152" s="812">
        <v>0</v>
      </c>
      <c r="R152" s="807">
        <f t="shared" si="2"/>
        <v>0</v>
      </c>
      <c r="S152" s="1174"/>
    </row>
    <row r="153" spans="2:19">
      <c r="B153" s="210" t="str">
        <f>IF(COUNTA(C153)=1,MAX(B$107:B152)+1,"")</f>
        <v/>
      </c>
      <c r="C153" s="808"/>
      <c r="D153" s="809"/>
      <c r="E153" s="809"/>
      <c r="F153" s="809"/>
      <c r="G153" s="809"/>
      <c r="H153" s="810"/>
      <c r="I153" s="808"/>
      <c r="J153" s="809"/>
      <c r="K153" s="809"/>
      <c r="L153" s="809"/>
      <c r="M153" s="809"/>
      <c r="N153" s="809"/>
      <c r="O153" s="811">
        <v>0</v>
      </c>
      <c r="P153" s="812"/>
      <c r="Q153" s="812">
        <v>0</v>
      </c>
      <c r="R153" s="807">
        <f t="shared" si="2"/>
        <v>0</v>
      </c>
      <c r="S153" s="1174"/>
    </row>
    <row r="154" spans="2:19">
      <c r="B154" s="210" t="str">
        <f>IF(COUNTA(C154)=1,MAX(B$107:B153)+1,"")</f>
        <v/>
      </c>
      <c r="C154" s="808"/>
      <c r="D154" s="809"/>
      <c r="E154" s="809"/>
      <c r="F154" s="809"/>
      <c r="G154" s="809"/>
      <c r="H154" s="810"/>
      <c r="I154" s="808"/>
      <c r="J154" s="809"/>
      <c r="K154" s="809"/>
      <c r="L154" s="809"/>
      <c r="M154" s="809"/>
      <c r="N154" s="809"/>
      <c r="O154" s="811">
        <v>0</v>
      </c>
      <c r="P154" s="812"/>
      <c r="Q154" s="812">
        <v>0</v>
      </c>
      <c r="R154" s="807">
        <f t="shared" si="2"/>
        <v>0</v>
      </c>
      <c r="S154" s="1174"/>
    </row>
    <row r="155" spans="2:19">
      <c r="B155" s="210" t="str">
        <f>IF(COUNTA(C155)=1,MAX(B$107:B154)+1,"")</f>
        <v/>
      </c>
      <c r="C155" s="808"/>
      <c r="D155" s="809"/>
      <c r="E155" s="809"/>
      <c r="F155" s="809"/>
      <c r="G155" s="809"/>
      <c r="H155" s="810"/>
      <c r="I155" s="808"/>
      <c r="J155" s="809"/>
      <c r="K155" s="809"/>
      <c r="L155" s="809"/>
      <c r="M155" s="809"/>
      <c r="N155" s="809"/>
      <c r="O155" s="811">
        <v>0</v>
      </c>
      <c r="P155" s="812"/>
      <c r="Q155" s="812">
        <v>0</v>
      </c>
      <c r="R155" s="807">
        <f t="shared" si="2"/>
        <v>0</v>
      </c>
      <c r="S155" s="1174"/>
    </row>
    <row r="156" spans="2:19">
      <c r="B156" s="210" t="str">
        <f>IF(COUNTA(C156)=1,MAX(B$107:B155)+1,"")</f>
        <v/>
      </c>
      <c r="C156" s="808"/>
      <c r="D156" s="809"/>
      <c r="E156" s="809"/>
      <c r="F156" s="809"/>
      <c r="G156" s="809"/>
      <c r="H156" s="810"/>
      <c r="I156" s="808"/>
      <c r="J156" s="809"/>
      <c r="K156" s="809"/>
      <c r="L156" s="809"/>
      <c r="M156" s="809"/>
      <c r="N156" s="809"/>
      <c r="O156" s="811">
        <v>0</v>
      </c>
      <c r="P156" s="812"/>
      <c r="Q156" s="812">
        <v>0</v>
      </c>
      <c r="R156" s="807">
        <f t="shared" si="2"/>
        <v>0</v>
      </c>
      <c r="S156" s="1174"/>
    </row>
  </sheetData>
  <sheetProtection algorithmName="SHA-512" hashValue="0rME9m2D0f2vU1dFMS/2s6zIfZkTFbklZ/ouWv9NJoaP1Tt8hT/212sZZGbWnm3xjMUG4TO+6JC5A0RSjEkwpA==" saltValue="zg15AXvivtMwqIe2qk2Faw==" spinCount="100000" sheet="1" selectLockedCells="1"/>
  <mergeCells count="10">
    <mergeCell ref="P103:Q103"/>
    <mergeCell ref="P105:Q105"/>
    <mergeCell ref="P1:P2"/>
    <mergeCell ref="Q1:Q2"/>
    <mergeCell ref="D27:E27"/>
    <mergeCell ref="D28:E28"/>
    <mergeCell ref="L1:L2"/>
    <mergeCell ref="M1:M2"/>
    <mergeCell ref="N1:N2"/>
    <mergeCell ref="O1:O2"/>
  </mergeCells>
  <conditionalFormatting sqref="E21">
    <cfRule type="cellIs" dxfId="109" priority="7" stopIfTrue="1" operator="equal">
      <formula>1</formula>
    </cfRule>
  </conditionalFormatting>
  <conditionalFormatting sqref="E86">
    <cfRule type="cellIs" dxfId="108" priority="13" stopIfTrue="1" operator="equal">
      <formula>1</formula>
    </cfRule>
  </conditionalFormatting>
  <conditionalFormatting sqref="N6">
    <cfRule type="cellIs" dxfId="107" priority="6" operator="equal">
      <formula>1</formula>
    </cfRule>
  </conditionalFormatting>
  <conditionalFormatting sqref="N18">
    <cfRule type="cellIs" dxfId="106" priority="5" operator="equal">
      <formula>1</formula>
    </cfRule>
  </conditionalFormatting>
  <conditionalFormatting sqref="N22:N23">
    <cfRule type="cellIs" dxfId="105" priority="23" stopIfTrue="1" operator="equal">
      <formula>0</formula>
    </cfRule>
  </conditionalFormatting>
  <conditionalFormatting sqref="O10">
    <cfRule type="cellIs" dxfId="104" priority="1" operator="equal">
      <formula>1</formula>
    </cfRule>
  </conditionalFormatting>
  <conditionalFormatting sqref="O18 N19:O20">
    <cfRule type="cellIs" dxfId="103" priority="18" stopIfTrue="1" operator="equal">
      <formula>0</formula>
    </cfRule>
  </conditionalFormatting>
  <conditionalFormatting sqref="R107:R156">
    <cfRule type="cellIs" dxfId="102" priority="2" operator="notEqual">
      <formula>1</formula>
    </cfRule>
    <cfRule type="cellIs" dxfId="101" priority="3" operator="equal">
      <formula>1</formula>
    </cfRule>
  </conditionalFormatting>
  <conditionalFormatting sqref="S65">
    <cfRule type="cellIs" dxfId="100" priority="21" operator="equal">
      <formula>1</formula>
    </cfRule>
    <cfRule type="cellIs" dxfId="99" priority="22" operator="notEqual">
      <formula>1</formula>
    </cfRule>
  </conditionalFormatting>
  <dataValidations disablePrompts="1" count="5">
    <dataValidation type="decimal" errorStyle="information" operator="lessThanOrEqual" allowBlank="1" showInputMessage="1" showErrorMessage="1" error="Bitte nur Werte bis max. 15% verwenden." prompt="Bitte nur Werte bis max. 15% verwenden." sqref="E84" xr:uid="{B11FADC5-0FB7-4C4F-B45E-ADF2FC57116D}">
      <formula1>0.15</formula1>
    </dataValidation>
    <dataValidation type="list" allowBlank="1" showInputMessage="1" showErrorMessage="1" sqref="Q25:Q29" xr:uid="{39914790-0A2C-49E8-9D3E-2AC11D1ABC2D}">
      <formula1>$H$33:$O$33</formula1>
    </dataValidation>
    <dataValidation type="list" allowBlank="1" sqref="E86 E21" xr:uid="{B607872C-A212-4234-A56B-3E12FAE71665}">
      <formula1>"ja, nein"</formula1>
    </dataValidation>
    <dataValidation allowBlank="1" showInputMessage="1" showErrorMessage="1" prompt="Für die weitere Berechnung werden nur Werte bis max. 100% übernommen." sqref="S89" xr:uid="{F867212C-DCB4-457E-B22D-D5C1DAC368A2}"/>
    <dataValidation type="list" allowBlank="1" showInputMessage="1" showErrorMessage="1" sqref="O107:Q156" xr:uid="{CEFF4FEE-AECC-4CE1-A4A7-012D21ED58C4}">
      <formula1>"0%,50%,100%"</formula1>
    </dataValidation>
  </dataValidations>
  <pageMargins left="0.59055118110236227" right="0.59055118110236227" top="0.78740157480314965" bottom="0.59055118110236227" header="0.51181102362204722" footer="0.27559055118110237"/>
  <pageSetup paperSize="9" scale="79" orientation="portrait" r:id="rId1"/>
  <headerFooter alignWithMargins="0">
    <oddFooter>&amp;C&amp;8Seite &amp;P von &amp;N</oddFooter>
  </headerFooter>
  <rowBreaks count="1" manualBreakCount="1">
    <brk id="51"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62945-7D60-4F1D-BBA6-5E31C83E31C6}">
  <sheetPr codeName="Tabelle9">
    <tabColor theme="9" tint="-0.249977111117893"/>
  </sheetPr>
  <dimension ref="A1:X156"/>
  <sheetViews>
    <sheetView showGridLines="0" showZeros="0" zoomScale="115" zoomScaleNormal="115" zoomScaleSheetLayoutView="115" workbookViewId="0">
      <selection activeCell="B9" sqref="B9"/>
    </sheetView>
  </sheetViews>
  <sheetFormatPr baseColWidth="10" defaultColWidth="11.453125" defaultRowHeight="10"/>
  <cols>
    <col min="1" max="1" width="0.54296875" style="1" customWidth="1"/>
    <col min="2" max="2" width="9.54296875" style="1" customWidth="1"/>
    <col min="3" max="3" width="6.54296875" style="1" customWidth="1"/>
    <col min="4" max="4" width="5.54296875" style="1" customWidth="1"/>
    <col min="5" max="5" width="5.453125" style="1" customWidth="1"/>
    <col min="6" max="6" width="1.81640625" style="1" customWidth="1"/>
    <col min="7" max="7" width="1.453125" style="1" customWidth="1"/>
    <col min="8" max="9" width="7.453125" style="1" customWidth="1"/>
    <col min="10" max="10" width="7.453125" style="42" customWidth="1"/>
    <col min="11" max="11" width="7.453125" style="1" customWidth="1"/>
    <col min="12" max="12" width="7.453125" style="42" customWidth="1"/>
    <col min="13" max="13" width="7.453125" style="1" customWidth="1"/>
    <col min="14" max="15" width="7.453125" style="42" customWidth="1"/>
    <col min="16" max="16" width="8.54296875" style="42" customWidth="1"/>
    <col min="17" max="17" width="7.453125" style="42" customWidth="1"/>
    <col min="18" max="18" width="0.81640625" style="42" customWidth="1"/>
    <col min="19" max="19" width="7.453125" style="42" customWidth="1"/>
    <col min="20" max="20" width="1.1796875" style="1" customWidth="1"/>
    <col min="21" max="21" width="7.1796875" style="202" customWidth="1"/>
    <col min="22" max="24" width="7.26953125" style="202" customWidth="1"/>
    <col min="25" max="16384" width="11.453125" style="1"/>
  </cols>
  <sheetData>
    <row r="1" spans="1:24" ht="13" customHeight="1">
      <c r="A1" s="7"/>
      <c r="B1" s="8"/>
      <c r="C1" s="8"/>
      <c r="D1" s="8"/>
      <c r="E1" s="8"/>
      <c r="F1" s="9"/>
      <c r="H1" s="214"/>
      <c r="I1" s="216"/>
      <c r="J1" s="108"/>
      <c r="K1" s="9"/>
      <c r="L1" s="1364" t="s">
        <v>57</v>
      </c>
      <c r="M1" s="1364" t="s">
        <v>108</v>
      </c>
      <c r="N1" s="1364" t="s">
        <v>126</v>
      </c>
      <c r="O1" s="1364" t="s">
        <v>58</v>
      </c>
      <c r="P1" s="1356" t="s">
        <v>11</v>
      </c>
      <c r="Q1" s="1358" t="s">
        <v>113</v>
      </c>
      <c r="R1" s="341"/>
      <c r="S1" s="332"/>
    </row>
    <row r="2" spans="1:24" ht="38.15" customHeight="1">
      <c r="A2" s="13"/>
      <c r="B2" s="2" t="s">
        <v>24</v>
      </c>
      <c r="C2" s="96"/>
      <c r="D2" s="96"/>
      <c r="E2" s="96"/>
      <c r="F2" s="97"/>
      <c r="H2" s="210" t="s">
        <v>111</v>
      </c>
      <c r="I2" s="3"/>
      <c r="J2" s="49"/>
      <c r="K2" s="14"/>
      <c r="L2" s="1365"/>
      <c r="M2" s="1365"/>
      <c r="N2" s="1365"/>
      <c r="O2" s="1365"/>
      <c r="P2" s="1357"/>
      <c r="Q2" s="1359"/>
      <c r="R2" s="341"/>
      <c r="S2" s="332"/>
      <c r="V2" s="12" t="s">
        <v>863</v>
      </c>
    </row>
    <row r="3" spans="1:24" ht="3" customHeight="1">
      <c r="A3" s="98"/>
      <c r="B3" s="99"/>
      <c r="C3" s="99"/>
      <c r="D3" s="99"/>
      <c r="E3" s="99"/>
      <c r="F3" s="100"/>
      <c r="H3" s="215"/>
      <c r="I3" s="217"/>
      <c r="J3" s="218"/>
      <c r="K3" s="100"/>
      <c r="L3" s="4"/>
      <c r="M3" s="4"/>
      <c r="N3" s="4"/>
      <c r="O3" s="4"/>
      <c r="P3" s="5"/>
      <c r="Q3" s="6"/>
      <c r="R3" s="333"/>
      <c r="S3" s="333"/>
    </row>
    <row r="4" spans="1:24">
      <c r="A4" s="2"/>
      <c r="B4" s="2"/>
      <c r="C4" s="2"/>
      <c r="D4" s="2"/>
      <c r="E4" s="2"/>
      <c r="F4" s="2"/>
      <c r="H4" s="3"/>
      <c r="I4" s="3"/>
      <c r="K4" s="10"/>
      <c r="L4" s="11"/>
      <c r="M4" s="3"/>
      <c r="N4" s="11"/>
      <c r="O4" s="11"/>
      <c r="P4" s="11"/>
      <c r="Q4" s="12"/>
      <c r="R4" s="12"/>
      <c r="S4" s="12"/>
    </row>
    <row r="5" spans="1:24" ht="11.25" customHeight="1">
      <c r="A5" s="7"/>
      <c r="B5" s="8"/>
      <c r="C5" s="8"/>
      <c r="D5" s="8"/>
      <c r="E5" s="8"/>
      <c r="F5" s="9"/>
      <c r="H5" s="15" t="s">
        <v>87</v>
      </c>
      <c r="I5" s="3"/>
      <c r="K5" s="10"/>
      <c r="L5" s="11"/>
      <c r="M5" s="3"/>
      <c r="N5" s="11"/>
      <c r="O5" s="11"/>
      <c r="P5" s="11"/>
      <c r="Q5" s="12"/>
      <c r="R5" s="12"/>
      <c r="S5" s="12"/>
      <c r="V5" s="1225"/>
      <c r="W5" s="1226"/>
      <c r="X5" s="1227"/>
    </row>
    <row r="6" spans="1:24" s="19" customFormat="1" ht="11.5" customHeight="1">
      <c r="A6" s="16"/>
      <c r="B6" s="24"/>
      <c r="C6" s="17"/>
      <c r="D6" s="17"/>
      <c r="E6" s="17"/>
      <c r="F6" s="18"/>
      <c r="H6" s="203" t="s">
        <v>0</v>
      </c>
      <c r="I6" s="17"/>
      <c r="L6" s="339">
        <f>IF(E15&gt;0,E15,0)</f>
        <v>0</v>
      </c>
      <c r="M6" s="20">
        <f>IF(E15&gt;0,'HAW-Kennwerte'!C14,0)</f>
        <v>0</v>
      </c>
      <c r="N6" s="205">
        <f>IF(L6&gt;0,IF(E21="ja",'HAW-Kennwerte'!D14,1),0)</f>
        <v>0</v>
      </c>
      <c r="O6" s="22"/>
      <c r="P6" s="23">
        <f>L6*M6*N6</f>
        <v>0</v>
      </c>
      <c r="Q6" s="328">
        <f>IF(P6&gt;0,'HAW-Kennwerte'!Z9,0)</f>
        <v>0</v>
      </c>
      <c r="R6" s="328"/>
      <c r="S6" s="328"/>
      <c r="U6" s="203"/>
      <c r="V6" s="1200"/>
      <c r="W6" s="1201"/>
      <c r="X6" s="1202"/>
    </row>
    <row r="7" spans="1:24" s="19" customFormat="1" ht="11.5" customHeight="1">
      <c r="A7" s="16"/>
      <c r="B7" s="928" t="str">
        <f>HAW!B4</f>
        <v>Hochschule …</v>
      </c>
      <c r="C7" s="928"/>
      <c r="D7" s="928"/>
      <c r="E7" s="928"/>
      <c r="F7" s="18"/>
      <c r="H7" s="203" t="s">
        <v>1</v>
      </c>
      <c r="I7" s="17"/>
      <c r="L7" s="340">
        <f>IF(E15-E16&lt;0,0,IF(E23&gt;E16,0,E16))</f>
        <v>0</v>
      </c>
      <c r="M7" s="895">
        <f>IF(L7&gt;0,'HAW-Kennwerte'!I14,0)</f>
        <v>0</v>
      </c>
      <c r="N7" s="205"/>
      <c r="O7" s="896">
        <f>IFERROR(IF(L7&gt;0,(E23*(E24*'HAW-Kennwerte'!K14+E25*'HAW-Kennwerte'!M14))/(E16*M7),0),"")</f>
        <v>0</v>
      </c>
      <c r="P7" s="27">
        <f>IFERROR(L7*M7*O7,"")</f>
        <v>0</v>
      </c>
      <c r="Q7" s="329">
        <f>IF(P7&gt;0,'HAW-Kennwerte'!AA14,0)</f>
        <v>0</v>
      </c>
      <c r="R7" s="329"/>
      <c r="S7" s="329"/>
      <c r="U7" s="203"/>
      <c r="V7" s="1200"/>
      <c r="W7" s="1201"/>
      <c r="X7" s="1202"/>
    </row>
    <row r="8" spans="1:24" s="19" customFormat="1" ht="11.5" customHeight="1">
      <c r="A8" s="16"/>
      <c r="B8" s="473">
        <f>HAW!B5</f>
        <v>0</v>
      </c>
      <c r="F8" s="18"/>
      <c r="H8" s="203" t="s">
        <v>86</v>
      </c>
      <c r="I8" s="17"/>
      <c r="L8" s="29"/>
      <c r="M8" s="20"/>
      <c r="N8" s="21"/>
      <c r="O8" s="22"/>
      <c r="P8" s="352"/>
      <c r="Q8" s="329"/>
      <c r="R8" s="329"/>
      <c r="S8" s="329"/>
      <c r="U8" s="203"/>
      <c r="V8" s="1228"/>
      <c r="W8" s="1229"/>
      <c r="X8" s="1230"/>
    </row>
    <row r="9" spans="1:24" s="19" customFormat="1" ht="11.5" customHeight="1">
      <c r="A9" s="16"/>
      <c r="B9" s="346" t="s">
        <v>93</v>
      </c>
      <c r="C9" s="347"/>
      <c r="D9" s="347"/>
      <c r="E9" s="347"/>
      <c r="F9" s="18"/>
      <c r="H9" s="203" t="s">
        <v>159</v>
      </c>
      <c r="I9" s="17"/>
      <c r="L9" s="339"/>
      <c r="M9" s="30"/>
      <c r="N9" s="21"/>
      <c r="O9" s="22"/>
      <c r="P9" s="52"/>
      <c r="Q9" s="329"/>
      <c r="R9" s="329"/>
      <c r="S9" s="329"/>
      <c r="U9" s="203"/>
      <c r="V9" s="1228"/>
      <c r="W9" s="1229"/>
      <c r="X9" s="1230"/>
    </row>
    <row r="10" spans="1:24" s="19" customFormat="1" ht="11.5" customHeight="1">
      <c r="A10" s="16"/>
      <c r="B10" s="346" t="s">
        <v>92</v>
      </c>
      <c r="C10" s="348"/>
      <c r="D10" s="348"/>
      <c r="E10" s="348"/>
      <c r="F10" s="18"/>
      <c r="H10" s="204" t="s">
        <v>19</v>
      </c>
      <c r="I10" s="17"/>
      <c r="L10" s="765">
        <f>IF(SUM($E$17:$E$18)&gt;0,$S$84,0)</f>
        <v>0</v>
      </c>
      <c r="M10" s="30">
        <f>IF($L$10&gt;0,'HAW-Kennwerte'!R14,0)</f>
        <v>0</v>
      </c>
      <c r="N10" s="205">
        <f>IF(L10&gt;0,E19,0)</f>
        <v>0</v>
      </c>
      <c r="O10" s="26">
        <f>IF(E84&gt;0.15,0,IFERROR((M10+M10*0.8*E84*0.4)/M10,0))</f>
        <v>0</v>
      </c>
      <c r="P10" s="27">
        <f>L10*N10*(M10*O10+IF(E86="ja",'HAW-Kennwerte'!$R$29,0))</f>
        <v>0</v>
      </c>
      <c r="Q10" s="329"/>
      <c r="R10" s="329"/>
      <c r="S10" s="329"/>
      <c r="U10" s="203"/>
      <c r="V10" s="1200"/>
      <c r="W10" s="1201"/>
      <c r="X10" s="1202"/>
    </row>
    <row r="11" spans="1:24" s="19" customFormat="1" ht="11.5" customHeight="1">
      <c r="A11" s="16"/>
      <c r="B11" s="56"/>
      <c r="C11" s="56"/>
      <c r="D11" s="56"/>
      <c r="E11" s="56"/>
      <c r="F11" s="18"/>
      <c r="H11" s="204" t="s">
        <v>91</v>
      </c>
      <c r="I11" s="17"/>
      <c r="L11" s="765">
        <f>IF(SUM($E$17:$E$18)&gt;0,SUM($E$17:$E$18),0)</f>
        <v>0</v>
      </c>
      <c r="M11" s="249">
        <f>IF($L$11&gt;0,'HAW-Kennwerte'!S12,0)</f>
        <v>0</v>
      </c>
      <c r="N11" s="205">
        <f>IF(L11&gt;0,E19,0)</f>
        <v>0</v>
      </c>
      <c r="O11" s="22"/>
      <c r="P11" s="31">
        <f>L11*M11*N11</f>
        <v>0</v>
      </c>
      <c r="Q11" s="329"/>
      <c r="R11" s="329"/>
      <c r="S11" s="329"/>
      <c r="U11" s="203"/>
      <c r="V11" s="1200"/>
      <c r="W11" s="1201"/>
      <c r="X11" s="1202"/>
    </row>
    <row r="12" spans="1:24" s="19" customFormat="1" ht="11.5" customHeight="1">
      <c r="A12" s="16"/>
      <c r="B12" s="24" t="s">
        <v>8</v>
      </c>
      <c r="F12" s="18"/>
      <c r="H12" s="204" t="s">
        <v>109</v>
      </c>
      <c r="I12" s="17"/>
      <c r="L12" s="766">
        <f>IF($E$17&gt;0,$E$17,0)</f>
        <v>0</v>
      </c>
      <c r="M12" s="30">
        <f>IF(L12&gt;0,'HAW-Kennwerte'!U14,0)</f>
        <v>0</v>
      </c>
      <c r="N12" s="205">
        <f>IF(L12&gt;0,IF(E19=0,0,IF(E19&lt;0.7,0.7,E19)),0)</f>
        <v>0</v>
      </c>
      <c r="O12" s="22"/>
      <c r="P12" s="31">
        <f>L12*M12*N12</f>
        <v>0</v>
      </c>
      <c r="Q12" s="329">
        <f>IF(P12&gt;0,'HAW-Kennwerte'!AA14,0)</f>
        <v>0</v>
      </c>
      <c r="R12" s="329"/>
      <c r="S12" s="329"/>
      <c r="U12" s="203"/>
      <c r="V12" s="1200"/>
      <c r="W12" s="1201"/>
      <c r="X12" s="1202"/>
    </row>
    <row r="13" spans="1:24" s="19" customFormat="1" ht="11.5" customHeight="1">
      <c r="A13" s="16"/>
      <c r="B13" s="56" t="s">
        <v>17</v>
      </c>
      <c r="F13" s="18"/>
      <c r="H13" s="204" t="s">
        <v>110</v>
      </c>
      <c r="I13" s="17"/>
      <c r="L13" s="766">
        <f>IF($E$18&gt;0,$E$18,0)</f>
        <v>0</v>
      </c>
      <c r="M13" s="30">
        <f>IF(L13&gt;0,'HAW-Kennwerte'!X14,0)</f>
        <v>0</v>
      </c>
      <c r="N13" s="205">
        <f>IF(L13&gt;0,IF(E19=0,0,IF(E19&lt;0.7,0.7,E19)),0)</f>
        <v>0</v>
      </c>
      <c r="O13" s="22"/>
      <c r="P13" s="31">
        <f>L13*M13*N13</f>
        <v>0</v>
      </c>
      <c r="Q13" s="329">
        <f>IF(P13&gt;0,'HAW-Kennwerte'!AA14,0)</f>
        <v>0</v>
      </c>
      <c r="R13" s="329"/>
      <c r="S13" s="329"/>
      <c r="U13" s="203"/>
      <c r="V13" s="1200"/>
      <c r="W13" s="1201"/>
      <c r="X13" s="1202"/>
    </row>
    <row r="14" spans="1:24" s="19" customFormat="1" ht="11.5" customHeight="1">
      <c r="A14" s="16"/>
      <c r="C14" s="56"/>
      <c r="F14" s="18"/>
      <c r="H14" s="203" t="s">
        <v>20</v>
      </c>
      <c r="I14" s="17"/>
      <c r="K14" s="112"/>
      <c r="L14" s="32"/>
      <c r="M14" s="17"/>
      <c r="N14" s="32"/>
      <c r="O14" s="33"/>
      <c r="P14" s="34">
        <f>SUMPRODUCT(P6:P13,Q6:Q13)</f>
        <v>0</v>
      </c>
      <c r="Q14" s="330"/>
      <c r="R14" s="330"/>
      <c r="S14" s="330"/>
      <c r="U14" s="203"/>
      <c r="V14" s="1200"/>
      <c r="W14" s="1201"/>
      <c r="X14" s="1202"/>
    </row>
    <row r="15" spans="1:24" s="19" customFormat="1" ht="10.5">
      <c r="A15" s="16"/>
      <c r="B15" s="17"/>
      <c r="C15" s="17"/>
      <c r="D15" s="246" t="s">
        <v>73</v>
      </c>
      <c r="E15" s="349"/>
      <c r="F15" s="18"/>
      <c r="H15" s="17"/>
      <c r="I15" s="17"/>
      <c r="K15" s="35"/>
      <c r="L15" s="36"/>
      <c r="M15" s="17"/>
      <c r="N15" s="35"/>
      <c r="O15" s="35"/>
      <c r="P15" s="38">
        <f>SUM(P6:P14)</f>
        <v>0</v>
      </c>
      <c r="Q15" s="330"/>
      <c r="R15" s="330"/>
      <c r="S15" s="330"/>
      <c r="U15" s="203"/>
      <c r="V15" s="1228"/>
      <c r="W15" s="1229"/>
      <c r="X15" s="1230"/>
    </row>
    <row r="16" spans="1:24" s="19" customFormat="1" ht="11.25" customHeight="1">
      <c r="A16" s="16"/>
      <c r="B16" s="17"/>
      <c r="D16" s="223" t="s">
        <v>75</v>
      </c>
      <c r="E16" s="349"/>
      <c r="F16" s="18"/>
      <c r="H16" s="17"/>
      <c r="I16" s="17"/>
      <c r="K16" s="35"/>
      <c r="L16" s="36"/>
      <c r="M16" s="17"/>
      <c r="N16" s="35"/>
      <c r="O16" s="35"/>
      <c r="Q16" s="330"/>
      <c r="R16" s="330"/>
      <c r="S16" s="330"/>
      <c r="U16" s="203"/>
      <c r="V16" s="1228"/>
      <c r="W16" s="1229"/>
      <c r="X16" s="1230"/>
    </row>
    <row r="17" spans="1:24" s="19" customFormat="1">
      <c r="A17" s="16"/>
      <c r="B17" s="17"/>
      <c r="C17" s="17"/>
      <c r="D17" s="223" t="s">
        <v>185</v>
      </c>
      <c r="E17" s="764">
        <f>L84</f>
        <v>0</v>
      </c>
      <c r="F17" s="18"/>
      <c r="H17" s="24" t="s">
        <v>12</v>
      </c>
      <c r="I17" s="17"/>
      <c r="K17" s="35"/>
      <c r="L17" s="36"/>
      <c r="M17" s="17"/>
      <c r="N17" s="35"/>
      <c r="O17" s="35"/>
      <c r="P17" s="37"/>
      <c r="Q17" s="330"/>
      <c r="R17" s="330"/>
      <c r="S17" s="330"/>
      <c r="U17" s="203"/>
      <c r="V17" s="1228"/>
      <c r="W17" s="1229"/>
      <c r="X17" s="1230"/>
    </row>
    <row r="18" spans="1:24" s="19" customFormat="1" ht="11.5" customHeight="1">
      <c r="A18" s="16"/>
      <c r="B18" s="17"/>
      <c r="C18" s="17"/>
      <c r="D18" s="223" t="s">
        <v>186</v>
      </c>
      <c r="E18" s="764">
        <f>Q84</f>
        <v>0</v>
      </c>
      <c r="F18" s="18"/>
      <c r="H18" s="203" t="s">
        <v>0</v>
      </c>
      <c r="I18" s="17"/>
      <c r="L18" s="39">
        <f>E20/100</f>
        <v>0</v>
      </c>
      <c r="M18" s="30">
        <f>IF(N46=0,IF(E20&gt;0,'HAW-Kennwerte'!F14,0),'HAW-Kennwerte'!E14*81600/N46)</f>
        <v>0</v>
      </c>
      <c r="N18" s="205">
        <f>IF(L18&gt;0,IF(E21="ja",'HAW-Kennwerte'!G14,1),0)</f>
        <v>0</v>
      </c>
      <c r="O18" s="205"/>
      <c r="P18" s="23">
        <f>L18*M18*N18</f>
        <v>0</v>
      </c>
      <c r="Q18" s="328">
        <f>IF(P18&gt;0,Q6,0)</f>
        <v>0</v>
      </c>
      <c r="R18" s="328"/>
      <c r="S18" s="328"/>
      <c r="U18" s="203"/>
      <c r="V18" s="1200"/>
      <c r="W18" s="1201"/>
      <c r="X18" s="1202"/>
    </row>
    <row r="19" spans="1:24" s="19" customFormat="1" ht="11.5" customHeight="1">
      <c r="A19" s="16"/>
      <c r="B19" s="17"/>
      <c r="C19" s="17"/>
      <c r="D19" s="53" t="s">
        <v>27</v>
      </c>
      <c r="E19" s="688">
        <f>S88</f>
        <v>0</v>
      </c>
      <c r="F19" s="18"/>
      <c r="H19" s="203" t="s">
        <v>1</v>
      </c>
      <c r="I19" s="17"/>
      <c r="L19" s="39">
        <f>IF(M19=0,0,L18)</f>
        <v>0</v>
      </c>
      <c r="M19" s="30">
        <f>IF(N46=0,IF(E20=0,0,IF(P7=0,0,'HAW-Kennwerte'!P14)),'HAW-Kennwerte'!O14*81600/N46)</f>
        <v>0</v>
      </c>
      <c r="N19" s="25"/>
      <c r="O19" s="25"/>
      <c r="P19" s="27">
        <f>IFERROR(L19*M19,"")</f>
        <v>0</v>
      </c>
      <c r="Q19" s="329">
        <f>IF(P19&gt;0,Q$7,0)</f>
        <v>0</v>
      </c>
      <c r="R19" s="329"/>
      <c r="S19" s="329"/>
      <c r="U19" s="203"/>
      <c r="V19" s="1200"/>
      <c r="W19" s="1201"/>
      <c r="X19" s="1202"/>
    </row>
    <row r="20" spans="1:24" s="19" customFormat="1" ht="11.5" customHeight="1">
      <c r="A20" s="16"/>
      <c r="B20" s="17"/>
      <c r="C20" s="17"/>
      <c r="D20" s="53" t="s">
        <v>28</v>
      </c>
      <c r="E20" s="55">
        <f>H47</f>
        <v>0</v>
      </c>
      <c r="F20" s="18"/>
      <c r="H20" s="203" t="s">
        <v>159</v>
      </c>
      <c r="I20" s="17"/>
      <c r="L20" s="39"/>
      <c r="M20" s="30"/>
      <c r="N20" s="21"/>
      <c r="O20" s="25"/>
      <c r="P20" s="52"/>
      <c r="Q20" s="329"/>
      <c r="R20" s="329"/>
      <c r="S20" s="329"/>
      <c r="U20" s="203"/>
      <c r="V20" s="1228"/>
      <c r="W20" s="1229"/>
      <c r="X20" s="1230"/>
    </row>
    <row r="21" spans="1:24" s="19" customFormat="1" ht="11.5" customHeight="1">
      <c r="A21" s="16"/>
      <c r="B21" s="17"/>
      <c r="C21" s="17"/>
      <c r="D21" s="223" t="s">
        <v>247</v>
      </c>
      <c r="E21" s="793" t="s">
        <v>248</v>
      </c>
      <c r="F21" s="18"/>
      <c r="H21" s="203" t="s">
        <v>20</v>
      </c>
      <c r="I21" s="17"/>
      <c r="P21" s="34">
        <f>SUMPRODUCT(P18:P20,Q18:Q20)</f>
        <v>0</v>
      </c>
      <c r="Q21" s="329"/>
      <c r="R21" s="329"/>
      <c r="S21" s="329"/>
      <c r="U21" s="203"/>
      <c r="V21" s="1200"/>
      <c r="W21" s="1201"/>
      <c r="X21" s="1202"/>
    </row>
    <row r="22" spans="1:24" s="19" customFormat="1" ht="11.5" customHeight="1">
      <c r="A22" s="16"/>
      <c r="B22" s="17"/>
      <c r="C22" s="2"/>
      <c r="F22" s="18"/>
      <c r="I22" s="17"/>
      <c r="K22" s="17"/>
      <c r="L22" s="213"/>
      <c r="M22" s="17"/>
      <c r="N22" s="112"/>
      <c r="O22" s="212"/>
      <c r="P22" s="38">
        <f>SUM(P18:P21)</f>
        <v>0</v>
      </c>
      <c r="Q22" s="28"/>
      <c r="R22" s="28"/>
      <c r="S22" s="28"/>
      <c r="U22" s="203"/>
      <c r="V22" s="1228"/>
      <c r="W22" s="1229"/>
      <c r="X22" s="1230"/>
    </row>
    <row r="23" spans="1:24" s="19" customFormat="1" ht="11.5" customHeight="1">
      <c r="A23" s="16"/>
      <c r="B23" s="17"/>
      <c r="C23" s="17"/>
      <c r="D23" s="223" t="s">
        <v>127</v>
      </c>
      <c r="E23" s="349">
        <f>P103</f>
        <v>0</v>
      </c>
      <c r="F23" s="18"/>
      <c r="I23" s="17"/>
      <c r="J23" s="112"/>
      <c r="K23" s="17"/>
      <c r="L23" s="44"/>
      <c r="M23" s="17"/>
      <c r="N23" s="112"/>
      <c r="O23" s="212"/>
      <c r="R23" s="40"/>
      <c r="S23" s="40"/>
      <c r="U23" s="203"/>
      <c r="V23" s="1228"/>
      <c r="W23" s="1229"/>
      <c r="X23" s="1230"/>
    </row>
    <row r="24" spans="1:24" ht="12.65" customHeight="1">
      <c r="A24" s="13"/>
      <c r="B24" s="2"/>
      <c r="C24" s="17"/>
      <c r="D24" s="53" t="s">
        <v>13</v>
      </c>
      <c r="E24" s="350" t="str">
        <f>P104</f>
        <v/>
      </c>
      <c r="F24" s="14"/>
      <c r="I24" s="24" t="s">
        <v>15</v>
      </c>
      <c r="J24" s="1"/>
      <c r="K24" s="17"/>
      <c r="L24" s="41"/>
      <c r="M24" s="2"/>
      <c r="P24" s="43"/>
      <c r="Q24" s="1185" t="s">
        <v>789</v>
      </c>
      <c r="R24" s="12"/>
      <c r="S24" s="12"/>
      <c r="V24" s="1231"/>
      <c r="W24" s="1232"/>
      <c r="X24" s="1174"/>
    </row>
    <row r="25" spans="1:24" ht="11.15" customHeight="1">
      <c r="A25" s="13"/>
      <c r="B25" s="2"/>
      <c r="D25" s="53" t="s">
        <v>14</v>
      </c>
      <c r="E25" s="688">
        <f>IF(E23&gt;0,IF(E24="",0,1-E24),0)</f>
        <v>0</v>
      </c>
      <c r="F25" s="14"/>
      <c r="I25" s="1167" t="s">
        <v>293</v>
      </c>
      <c r="J25" s="359"/>
      <c r="K25" s="359"/>
      <c r="L25" s="360"/>
      <c r="M25" s="361"/>
      <c r="N25" s="362"/>
      <c r="P25" s="351"/>
      <c r="Q25" s="718"/>
      <c r="R25" s="788"/>
      <c r="S25" s="788"/>
      <c r="V25" s="1231"/>
      <c r="W25" s="1232"/>
      <c r="X25" s="1174"/>
    </row>
    <row r="26" spans="1:24">
      <c r="A26" s="13"/>
      <c r="B26" s="2"/>
      <c r="C26" s="2"/>
      <c r="D26" s="2"/>
      <c r="E26" s="2"/>
      <c r="F26" s="14"/>
      <c r="I26" s="1168"/>
      <c r="J26" s="363"/>
      <c r="K26" s="363"/>
      <c r="L26" s="364"/>
      <c r="M26" s="363"/>
      <c r="N26" s="365"/>
      <c r="P26" s="352"/>
      <c r="Q26" s="718"/>
      <c r="R26" s="788"/>
      <c r="S26" s="788"/>
      <c r="V26" s="1231"/>
      <c r="W26" s="1232"/>
      <c r="X26" s="1174"/>
    </row>
    <row r="27" spans="1:24" s="19" customFormat="1" ht="11.5" customHeight="1">
      <c r="A27" s="16"/>
      <c r="B27" s="17"/>
      <c r="C27" s="53" t="s">
        <v>29</v>
      </c>
      <c r="D27" s="1360">
        <f>HAW!D24</f>
        <v>0</v>
      </c>
      <c r="E27" s="1361"/>
      <c r="F27" s="18"/>
      <c r="I27" s="1168"/>
      <c r="J27" s="366"/>
      <c r="K27" s="366"/>
      <c r="L27" s="366"/>
      <c r="M27" s="366"/>
      <c r="N27" s="367"/>
      <c r="O27" s="35"/>
      <c r="P27" s="352"/>
      <c r="Q27" s="719"/>
      <c r="R27" s="789"/>
      <c r="S27" s="789"/>
      <c r="U27" s="203"/>
      <c r="V27" s="1228"/>
      <c r="W27" s="1229"/>
      <c r="X27" s="1230"/>
    </row>
    <row r="28" spans="1:24" s="19" customFormat="1" ht="11.5" customHeight="1">
      <c r="A28" s="16"/>
      <c r="B28" s="17"/>
      <c r="C28" s="53" t="s">
        <v>30</v>
      </c>
      <c r="D28" s="1362">
        <f>HAW!D25</f>
        <v>0</v>
      </c>
      <c r="E28" s="1363"/>
      <c r="F28" s="18"/>
      <c r="I28" s="1168"/>
      <c r="J28" s="366"/>
      <c r="K28" s="366"/>
      <c r="L28" s="366"/>
      <c r="M28" s="366"/>
      <c r="N28" s="366"/>
      <c r="P28" s="352"/>
      <c r="Q28" s="719"/>
      <c r="R28" s="789"/>
      <c r="S28" s="789"/>
      <c r="U28" s="203"/>
      <c r="V28" s="1228"/>
      <c r="W28" s="1229"/>
      <c r="X28" s="1230"/>
    </row>
    <row r="29" spans="1:24" s="19" customFormat="1" ht="11.5" customHeight="1">
      <c r="A29" s="102"/>
      <c r="B29" s="103"/>
      <c r="C29" s="103"/>
      <c r="D29" s="103"/>
      <c r="E29" s="103"/>
      <c r="F29" s="104"/>
      <c r="I29" s="1168"/>
      <c r="J29" s="366"/>
      <c r="K29" s="366"/>
      <c r="L29" s="366"/>
      <c r="M29" s="366"/>
      <c r="N29" s="366"/>
      <c r="P29" s="353"/>
      <c r="Q29" s="719"/>
      <c r="R29" s="789"/>
      <c r="S29" s="789"/>
      <c r="U29" s="203"/>
      <c r="V29" s="1228"/>
      <c r="W29" s="1229"/>
      <c r="X29" s="1230"/>
    </row>
    <row r="30" spans="1:24" s="19" customFormat="1" ht="11.25" customHeight="1">
      <c r="A30" s="17"/>
      <c r="I30" s="17"/>
      <c r="J30" s="1366"/>
      <c r="K30" s="1366"/>
      <c r="L30" s="1366"/>
      <c r="M30" s="1366"/>
      <c r="N30" s="1366"/>
      <c r="O30" s="1366"/>
      <c r="P30" s="38">
        <f>SUM(P25:P29)</f>
        <v>0</v>
      </c>
      <c r="Q30" s="40"/>
      <c r="R30" s="40"/>
      <c r="S30" s="40"/>
      <c r="U30" s="203"/>
      <c r="V30" s="1228"/>
      <c r="W30" s="1229"/>
      <c r="X30" s="1230"/>
    </row>
    <row r="31" spans="1:24" ht="11.25" customHeight="1">
      <c r="A31" s="2"/>
      <c r="B31" s="2"/>
      <c r="C31" s="2"/>
      <c r="H31" s="106"/>
      <c r="I31" s="224"/>
      <c r="J31" s="225"/>
      <c r="K31" s="224"/>
      <c r="L31" s="226"/>
      <c r="M31" s="225"/>
      <c r="N31" s="107"/>
      <c r="O31" s="107"/>
      <c r="P31" s="227"/>
      <c r="Q31" s="50"/>
      <c r="R31" s="50"/>
      <c r="S31" s="40"/>
      <c r="V31" s="1231"/>
      <c r="W31" s="1232"/>
      <c r="X31" s="1174"/>
    </row>
    <row r="32" spans="1:24" ht="11.25" customHeight="1">
      <c r="A32" s="2"/>
      <c r="B32" s="2"/>
      <c r="C32" s="2"/>
      <c r="I32" s="47"/>
      <c r="J32" s="24"/>
      <c r="K32" s="47"/>
      <c r="L32" s="48"/>
      <c r="M32" s="24"/>
      <c r="N32" s="49"/>
      <c r="O32" s="49"/>
      <c r="P32" s="50"/>
      <c r="Q32" s="50"/>
      <c r="R32" s="50"/>
      <c r="S32" s="40"/>
      <c r="V32" s="1231"/>
      <c r="W32" s="1232"/>
      <c r="X32" s="1174"/>
    </row>
    <row r="33" spans="1:24" ht="50.15" customHeight="1" thickBot="1">
      <c r="A33" s="2"/>
      <c r="B33" s="2"/>
      <c r="C33" s="2"/>
      <c r="D33" s="2"/>
      <c r="F33" s="219" t="s">
        <v>16</v>
      </c>
      <c r="G33" s="2"/>
      <c r="H33" s="220" t="s">
        <v>0</v>
      </c>
      <c r="I33" s="220" t="s">
        <v>1</v>
      </c>
      <c r="J33" s="221" t="s">
        <v>197</v>
      </c>
      <c r="K33" s="221" t="s">
        <v>159</v>
      </c>
      <c r="L33" s="221" t="s">
        <v>198</v>
      </c>
      <c r="M33" s="221" t="s">
        <v>22</v>
      </c>
      <c r="N33" s="220" t="s">
        <v>20</v>
      </c>
      <c r="O33" s="221" t="s">
        <v>199</v>
      </c>
      <c r="T33" s="77"/>
      <c r="V33" s="1231"/>
      <c r="W33" s="1232"/>
      <c r="X33" s="1174"/>
    </row>
    <row r="34" spans="1:24" ht="17.149999999999999" customHeight="1" thickBot="1">
      <c r="B34" s="2"/>
      <c r="C34" s="2"/>
      <c r="D34" s="2"/>
      <c r="G34" s="2"/>
      <c r="H34" s="222">
        <f>P6+P18+SUMIF(Q25:Q29,H33,P25:P29)</f>
        <v>0</v>
      </c>
      <c r="I34" s="222">
        <f>IFERROR(P7+P19+SUMIF(Q25:Q29,I33,P25:P29),"")</f>
        <v>0</v>
      </c>
      <c r="J34" s="222">
        <f>P8+SUMIF(Q25:Q29,J33,P25:P29)</f>
        <v>0</v>
      </c>
      <c r="K34" s="222">
        <f>SUMIF(Q25:Q29,K33,P25:P29)</f>
        <v>0</v>
      </c>
      <c r="L34" s="222">
        <f>P10+P11+SUMIF(Q25:Q29,L33,P25:P29)</f>
        <v>0</v>
      </c>
      <c r="M34" s="222">
        <f>P12+P13+SUMIF(Q25:Q29,M33,P25:P29)</f>
        <v>0</v>
      </c>
      <c r="N34" s="222">
        <f>P14+P21+SUMIF(Q25:Q29,N33,P25:P29)</f>
        <v>0</v>
      </c>
      <c r="O34" s="222">
        <f>SUMIF(Q25:Q29,O33,P25:P29)</f>
        <v>0</v>
      </c>
      <c r="P34" s="331">
        <f>SUM(H34:O34)</f>
        <v>0</v>
      </c>
      <c r="Q34" s="101"/>
      <c r="R34" s="101"/>
      <c r="S34" s="101"/>
      <c r="T34" s="77"/>
      <c r="V34" s="1231"/>
      <c r="W34" s="1232"/>
      <c r="X34" s="1174"/>
    </row>
    <row r="35" spans="1:24">
      <c r="A35" s="106"/>
      <c r="B35" s="105"/>
      <c r="C35" s="46"/>
      <c r="D35" s="46"/>
      <c r="E35" s="46"/>
      <c r="F35" s="46"/>
      <c r="G35" s="106"/>
      <c r="H35" s="106"/>
      <c r="I35" s="106"/>
      <c r="J35" s="107"/>
      <c r="K35" s="106"/>
      <c r="L35" s="107"/>
      <c r="M35" s="106"/>
      <c r="N35" s="107"/>
      <c r="O35" s="107"/>
      <c r="P35" s="107"/>
      <c r="Q35" s="107"/>
      <c r="R35" s="49"/>
      <c r="S35" s="49"/>
      <c r="T35" s="77"/>
      <c r="V35" s="1231"/>
      <c r="W35" s="1232"/>
      <c r="X35" s="1174"/>
    </row>
    <row r="36" spans="1:24">
      <c r="S36" s="49"/>
      <c r="T36" s="77"/>
      <c r="V36" s="1231"/>
      <c r="W36" s="1232"/>
      <c r="X36" s="1174"/>
    </row>
    <row r="37" spans="1:24">
      <c r="A37" s="7"/>
      <c r="B37" s="8"/>
      <c r="C37" s="8"/>
      <c r="D37" s="8"/>
      <c r="E37" s="8"/>
      <c r="F37" s="8"/>
      <c r="G37" s="8"/>
      <c r="H37" s="8"/>
      <c r="I37" s="8"/>
      <c r="J37" s="8"/>
      <c r="K37" s="8"/>
      <c r="L37" s="8"/>
      <c r="M37" s="8"/>
      <c r="N37" s="108"/>
      <c r="O37" s="108"/>
      <c r="P37" s="109"/>
      <c r="S37" s="49"/>
      <c r="T37" s="77"/>
      <c r="V37" s="1231"/>
      <c r="W37" s="1232"/>
      <c r="X37" s="1174"/>
    </row>
    <row r="38" spans="1:24" ht="10.5">
      <c r="A38" s="13"/>
      <c r="E38" s="110" t="s">
        <v>70</v>
      </c>
      <c r="F38" s="2"/>
      <c r="G38" s="2"/>
      <c r="H38" s="2"/>
      <c r="I38" s="2"/>
      <c r="J38" s="2"/>
      <c r="K38" s="238" t="s">
        <v>69</v>
      </c>
      <c r="M38" s="2"/>
      <c r="N38" s="49"/>
      <c r="O38" s="49"/>
      <c r="P38" s="111"/>
      <c r="S38" s="49"/>
      <c r="T38" s="77"/>
      <c r="V38" s="1231"/>
      <c r="W38" s="1232"/>
      <c r="X38" s="1174"/>
    </row>
    <row r="39" spans="1:24" ht="2.5" customHeight="1">
      <c r="A39" s="13"/>
      <c r="E39" s="110"/>
      <c r="F39" s="2"/>
      <c r="G39" s="2"/>
      <c r="H39" s="46"/>
      <c r="I39" s="2"/>
      <c r="J39" s="2"/>
      <c r="K39" s="2"/>
      <c r="L39" s="2"/>
      <c r="M39" s="2"/>
      <c r="N39" s="49"/>
      <c r="O39" s="49"/>
      <c r="P39" s="111"/>
      <c r="S39" s="49"/>
      <c r="T39" s="77"/>
      <c r="V39" s="1231"/>
      <c r="W39" s="1232"/>
      <c r="X39" s="1174"/>
    </row>
    <row r="40" spans="1:24" ht="11.15" customHeight="1">
      <c r="A40" s="13"/>
      <c r="E40" s="207">
        <f>IF($E$44&gt;2023,$E$44-4,"")</f>
        <v>2021</v>
      </c>
      <c r="H40" s="354"/>
      <c r="I40" s="2" t="s">
        <v>25</v>
      </c>
      <c r="J40" s="2"/>
      <c r="K40" s="2"/>
      <c r="L40" s="49"/>
      <c r="M40" s="2"/>
      <c r="N40" s="49"/>
      <c r="O40" s="49"/>
      <c r="P40" s="111"/>
      <c r="S40" s="49"/>
      <c r="T40" s="77"/>
      <c r="V40" s="1231"/>
      <c r="W40" s="1232"/>
      <c r="X40" s="1174"/>
    </row>
    <row r="41" spans="1:24" ht="11.15" customHeight="1">
      <c r="A41" s="13"/>
      <c r="E41" s="207">
        <f>IF($E$44&gt;2023,$E$44-3,"")</f>
        <v>2022</v>
      </c>
      <c r="H41" s="354"/>
      <c r="I41" s="228" t="s">
        <v>25</v>
      </c>
      <c r="J41" s="2"/>
      <c r="K41" s="2"/>
      <c r="L41" s="49"/>
      <c r="M41" s="2"/>
      <c r="N41" s="49"/>
      <c r="O41" s="49"/>
      <c r="P41" s="111"/>
      <c r="S41" s="49"/>
      <c r="T41" s="77"/>
      <c r="V41" s="1231"/>
      <c r="W41" s="1232"/>
      <c r="X41" s="1174"/>
    </row>
    <row r="42" spans="1:24" ht="11.15" customHeight="1">
      <c r="A42" s="13"/>
      <c r="E42" s="207">
        <f>IF($E$44&gt;2023,$E$44-2,"")</f>
        <v>2023</v>
      </c>
      <c r="H42" s="354"/>
      <c r="I42" s="228" t="s">
        <v>25</v>
      </c>
      <c r="J42" s="2"/>
      <c r="K42" s="2"/>
      <c r="L42" s="49"/>
      <c r="M42" s="2"/>
      <c r="N42" s="49"/>
      <c r="O42" s="49"/>
      <c r="P42" s="111"/>
      <c r="S42" s="49"/>
      <c r="T42" s="77"/>
      <c r="V42" s="1231"/>
      <c r="W42" s="1232"/>
      <c r="X42" s="1174"/>
    </row>
    <row r="43" spans="1:24" ht="11.15" customHeight="1">
      <c r="A43" s="13"/>
      <c r="E43" s="207">
        <f>IF($E$44&gt;2023,$E$44-1,"")</f>
        <v>2024</v>
      </c>
      <c r="H43" s="354"/>
      <c r="I43" s="228" t="s">
        <v>25</v>
      </c>
      <c r="J43" s="2"/>
      <c r="M43" s="207" t="s">
        <v>56</v>
      </c>
      <c r="N43" s="247">
        <f>'HAW-Kennwerte'!E29</f>
        <v>81600</v>
      </c>
      <c r="O43" s="49"/>
      <c r="P43" s="111"/>
      <c r="S43" s="49"/>
      <c r="T43" s="77"/>
      <c r="V43" s="1231"/>
      <c r="W43" s="1232"/>
      <c r="X43" s="1174"/>
    </row>
    <row r="44" spans="1:24" ht="11.15" customHeight="1">
      <c r="A44" s="13"/>
      <c r="D44" s="236" t="s">
        <v>184</v>
      </c>
      <c r="E44" s="711">
        <v>2025</v>
      </c>
      <c r="H44" s="354"/>
      <c r="I44" s="228" t="s">
        <v>25</v>
      </c>
      <c r="J44" s="49"/>
      <c r="M44" s="207" t="s">
        <v>119</v>
      </c>
      <c r="N44" s="475"/>
      <c r="O44" s="49"/>
      <c r="P44" s="111"/>
      <c r="S44" s="49"/>
      <c r="T44" s="77"/>
      <c r="V44" s="1231"/>
      <c r="W44" s="1232"/>
      <c r="X44" s="1174"/>
    </row>
    <row r="45" spans="1:24" ht="2.5" customHeight="1">
      <c r="A45" s="13"/>
      <c r="E45" s="2"/>
      <c r="F45" s="2"/>
      <c r="H45" s="2"/>
      <c r="I45" s="2"/>
      <c r="J45" s="49"/>
      <c r="M45" s="2"/>
      <c r="N45" s="2"/>
      <c r="O45" s="49"/>
      <c r="P45" s="111"/>
      <c r="S45" s="49"/>
      <c r="T45" s="77"/>
      <c r="V45" s="1231"/>
      <c r="W45" s="1232"/>
      <c r="X45" s="1174"/>
    </row>
    <row r="46" spans="1:24">
      <c r="A46" s="13"/>
      <c r="E46" s="2"/>
      <c r="F46" s="2"/>
      <c r="G46" s="116" t="s">
        <v>33</v>
      </c>
      <c r="H46" s="354"/>
      <c r="I46" s="2"/>
      <c r="J46" s="49"/>
      <c r="M46" s="116" t="s">
        <v>33</v>
      </c>
      <c r="N46" s="354"/>
      <c r="O46" s="49"/>
      <c r="P46" s="111"/>
      <c r="S46" s="49"/>
      <c r="T46" s="77"/>
      <c r="V46" s="1231"/>
      <c r="W46" s="1232"/>
      <c r="X46" s="1174"/>
    </row>
    <row r="47" spans="1:24" ht="12" customHeight="1">
      <c r="A47" s="13"/>
      <c r="E47" s="2"/>
      <c r="F47" s="2"/>
      <c r="G47" s="2"/>
      <c r="H47" s="54">
        <f>IF(H46=0,(H44*1.02*5+H43*1.04*4+H42*1.06*3+H41*1.08*2+H40*1.1)/15,H46)</f>
        <v>0</v>
      </c>
      <c r="I47" s="2"/>
      <c r="J47" s="49"/>
      <c r="M47" s="2"/>
      <c r="N47" s="54">
        <f>IF(N46&gt;0,N46,'HAW-Kennwerte'!E31)</f>
        <v>81600</v>
      </c>
      <c r="O47" s="49"/>
      <c r="P47" s="111"/>
      <c r="S47" s="49"/>
      <c r="T47" s="77"/>
      <c r="V47" s="1200"/>
      <c r="W47" s="1201"/>
      <c r="X47" s="1202"/>
    </row>
    <row r="48" spans="1:24">
      <c r="A48" s="45"/>
      <c r="B48" s="46"/>
      <c r="C48" s="46"/>
      <c r="D48" s="46"/>
      <c r="E48" s="46"/>
      <c r="F48" s="46"/>
      <c r="G48" s="46"/>
      <c r="H48" s="46"/>
      <c r="I48" s="46"/>
      <c r="J48" s="119"/>
      <c r="K48" s="46"/>
      <c r="L48" s="119"/>
      <c r="M48" s="46"/>
      <c r="N48" s="119"/>
      <c r="O48" s="119"/>
      <c r="P48" s="120"/>
      <c r="S48" s="49"/>
      <c r="T48" s="77"/>
      <c r="V48" s="1231"/>
      <c r="W48" s="1232"/>
      <c r="X48" s="1174"/>
    </row>
    <row r="49" spans="1:24" ht="11.25" customHeight="1">
      <c r="B49" s="117" t="s">
        <v>34</v>
      </c>
      <c r="S49" s="49"/>
      <c r="T49" s="2"/>
      <c r="V49" s="1231"/>
      <c r="W49" s="1232"/>
      <c r="X49" s="1174"/>
    </row>
    <row r="50" spans="1:24">
      <c r="A50" s="2"/>
      <c r="B50" s="106"/>
      <c r="C50" s="209"/>
      <c r="D50" s="106"/>
      <c r="E50" s="106"/>
      <c r="F50" s="106"/>
      <c r="G50" s="106"/>
      <c r="H50" s="106"/>
      <c r="I50" s="106"/>
      <c r="J50" s="106"/>
      <c r="K50" s="107"/>
      <c r="L50" s="106"/>
      <c r="M50" s="107"/>
      <c r="N50" s="106"/>
      <c r="O50" s="107"/>
      <c r="P50" s="107"/>
      <c r="Q50" s="107"/>
      <c r="R50" s="49"/>
      <c r="S50" s="49"/>
      <c r="T50" s="49"/>
      <c r="V50" s="1231"/>
      <c r="W50" s="1232"/>
      <c r="X50" s="1174"/>
    </row>
    <row r="51" spans="1:24">
      <c r="A51" s="2"/>
      <c r="J51" s="1"/>
      <c r="K51" s="42"/>
      <c r="L51" s="1"/>
      <c r="M51" s="42"/>
      <c r="N51" s="1"/>
      <c r="Q51" s="201" t="str">
        <f>HAW!B28</f>
        <v>Kennwertverfahren NRW für HAW; HIS-Institut für Hochschulentwicklung e.V. (24.04.2026)</v>
      </c>
      <c r="R51" s="250"/>
      <c r="S51" s="2"/>
      <c r="T51" s="2"/>
      <c r="V51" s="1231"/>
      <c r="W51" s="1232"/>
      <c r="X51" s="1174"/>
    </row>
    <row r="52" spans="1:24">
      <c r="A52" s="2"/>
      <c r="T52" s="121"/>
      <c r="V52" s="1231"/>
      <c r="W52" s="1232"/>
      <c r="X52" s="1174"/>
    </row>
    <row r="53" spans="1:24">
      <c r="A53" s="2"/>
      <c r="T53" s="121"/>
      <c r="V53" s="1231"/>
      <c r="W53" s="1232"/>
      <c r="X53" s="1174"/>
    </row>
    <row r="54" spans="1:24" ht="10.5">
      <c r="A54" s="2"/>
      <c r="B54" s="368" t="str">
        <f>IF(B8=0,B7,CONCATENATE(B7,B8))</f>
        <v>Hochschule …</v>
      </c>
      <c r="C54" s="369"/>
      <c r="D54" s="369"/>
      <c r="E54" s="369"/>
      <c r="F54" s="369"/>
      <c r="G54" s="369"/>
      <c r="H54" s="369"/>
      <c r="I54" s="369"/>
      <c r="J54" s="370"/>
      <c r="K54" s="369"/>
      <c r="L54" s="370"/>
      <c r="M54" s="369"/>
      <c r="N54" s="370"/>
      <c r="O54" s="370"/>
      <c r="P54" s="370"/>
      <c r="Q54" s="370"/>
      <c r="R54" s="370"/>
      <c r="S54" s="370"/>
      <c r="T54" s="121"/>
      <c r="V54" s="1231"/>
      <c r="W54" s="1232"/>
      <c r="X54" s="1174"/>
    </row>
    <row r="55" spans="1:24">
      <c r="A55" s="2"/>
      <c r="B55" s="369" t="str">
        <f>B9</f>
        <v>[Fakultät/Fachbereich]</v>
      </c>
      <c r="C55" s="369"/>
      <c r="D55" s="369"/>
      <c r="E55" s="369"/>
      <c r="F55" s="369"/>
      <c r="G55" s="369"/>
      <c r="H55" s="369"/>
      <c r="I55" s="369"/>
      <c r="J55" s="370"/>
      <c r="K55" s="369"/>
      <c r="L55" s="370"/>
      <c r="M55" s="369"/>
      <c r="N55" s="370"/>
      <c r="O55" s="370"/>
      <c r="P55" s="370"/>
      <c r="Q55" s="370"/>
      <c r="R55" s="370"/>
      <c r="S55" s="370"/>
      <c r="T55" s="121"/>
      <c r="V55" s="1231"/>
      <c r="W55" s="1232"/>
      <c r="X55" s="1174"/>
    </row>
    <row r="56" spans="1:24">
      <c r="A56" s="2"/>
      <c r="B56" s="369" t="str">
        <f>B10</f>
        <v>[Department, Institut o.a.]</v>
      </c>
      <c r="C56" s="369"/>
      <c r="D56" s="369"/>
      <c r="E56" s="369"/>
      <c r="F56" s="369"/>
      <c r="G56" s="369"/>
      <c r="H56" s="369"/>
      <c r="I56" s="369"/>
      <c r="J56" s="370"/>
      <c r="K56" s="369"/>
      <c r="L56" s="370"/>
      <c r="M56" s="369"/>
      <c r="N56" s="370"/>
      <c r="O56" s="370"/>
      <c r="P56" s="370"/>
      <c r="Q56" s="370"/>
      <c r="R56" s="370"/>
      <c r="S56" s="370"/>
      <c r="T56" s="121"/>
      <c r="V56" s="1231"/>
      <c r="W56" s="1232"/>
      <c r="X56" s="1174"/>
    </row>
    <row r="57" spans="1:24">
      <c r="A57" s="2"/>
      <c r="B57" s="369" t="str">
        <f>CONCATENATE(B12,": ",B13)</f>
        <v>Lehr- und Forschungsbereich: Elektro- und Informationstechnik</v>
      </c>
      <c r="C57" s="369"/>
      <c r="D57" s="369"/>
      <c r="E57" s="369"/>
      <c r="F57" s="369"/>
      <c r="G57" s="369"/>
      <c r="H57" s="369"/>
      <c r="I57" s="369"/>
      <c r="J57" s="370"/>
      <c r="K57" s="369"/>
      <c r="L57" s="370"/>
      <c r="M57" s="369"/>
      <c r="N57" s="370"/>
      <c r="O57" s="370"/>
      <c r="P57" s="370"/>
      <c r="Q57" s="370"/>
      <c r="R57" s="370"/>
      <c r="S57" s="370"/>
      <c r="T57" s="121"/>
      <c r="V57" s="1231"/>
      <c r="W57" s="1232"/>
      <c r="X57" s="1174"/>
    </row>
    <row r="58" spans="1:24">
      <c r="A58" s="2"/>
      <c r="T58" s="121"/>
      <c r="V58" s="1231"/>
      <c r="W58" s="1232"/>
      <c r="X58" s="1174"/>
    </row>
    <row r="59" spans="1:24">
      <c r="A59" s="2"/>
      <c r="B59" s="378" t="s">
        <v>95</v>
      </c>
      <c r="T59" s="121"/>
      <c r="V59" s="1231"/>
      <c r="W59" s="1232"/>
      <c r="X59" s="1174"/>
    </row>
    <row r="60" spans="1:24" s="202" customFormat="1" ht="2.25" customHeight="1">
      <c r="A60" s="110"/>
      <c r="B60" s="909"/>
      <c r="C60" s="910"/>
      <c r="D60" s="910"/>
      <c r="E60" s="910"/>
      <c r="F60" s="910"/>
      <c r="G60" s="910"/>
      <c r="H60" s="910"/>
      <c r="I60" s="910"/>
      <c r="J60" s="544"/>
      <c r="K60" s="910"/>
      <c r="L60" s="544"/>
      <c r="M60" s="910"/>
      <c r="N60" s="544"/>
      <c r="O60" s="544"/>
      <c r="P60" s="544"/>
      <c r="Q60" s="544"/>
      <c r="R60" s="544"/>
      <c r="S60" s="544"/>
      <c r="T60" s="320"/>
      <c r="V60" s="1231"/>
      <c r="W60" s="1232"/>
      <c r="X60" s="1174"/>
    </row>
    <row r="61" spans="1:24" s="202" customFormat="1" ht="10" customHeight="1">
      <c r="A61" s="206"/>
      <c r="B61" s="210"/>
      <c r="C61" s="206"/>
      <c r="D61" s="206"/>
      <c r="E61" s="206"/>
      <c r="F61" s="206"/>
      <c r="G61" s="206"/>
      <c r="H61" s="238"/>
      <c r="I61" s="238"/>
      <c r="J61" s="239"/>
      <c r="K61" s="238"/>
      <c r="L61" s="239"/>
      <c r="M61" s="238"/>
      <c r="N61" s="239"/>
      <c r="O61" s="239"/>
      <c r="P61" s="239"/>
      <c r="Q61" s="208"/>
      <c r="R61" s="208"/>
      <c r="S61" s="1166" t="s">
        <v>60</v>
      </c>
      <c r="T61" s="321"/>
      <c r="V61" s="1231"/>
      <c r="W61" s="1232"/>
      <c r="X61" s="1174"/>
    </row>
    <row r="62" spans="1:24" s="202" customFormat="1" ht="10" customHeight="1">
      <c r="A62" s="206"/>
      <c r="B62" s="210"/>
      <c r="C62" s="206"/>
      <c r="E62" s="206"/>
      <c r="F62" s="206"/>
      <c r="G62" s="206"/>
      <c r="H62" s="240" t="s">
        <v>60</v>
      </c>
      <c r="I62" s="241"/>
      <c r="J62" s="241"/>
      <c r="K62" s="240"/>
      <c r="L62" s="240"/>
      <c r="M62" s="243" t="s">
        <v>61</v>
      </c>
      <c r="N62" s="241"/>
      <c r="O62" s="240"/>
      <c r="P62" s="240"/>
      <c r="Q62" s="240"/>
      <c r="R62" s="240"/>
      <c r="S62" s="1189" t="s">
        <v>857</v>
      </c>
      <c r="T62" s="321"/>
      <c r="V62" s="1231"/>
      <c r="W62" s="1232"/>
      <c r="X62" s="1174"/>
    </row>
    <row r="63" spans="1:24" ht="10.4" customHeight="1">
      <c r="A63" s="2"/>
      <c r="B63" s="235"/>
      <c r="C63" s="204"/>
      <c r="F63" s="2"/>
      <c r="G63" s="2"/>
      <c r="H63" s="49"/>
      <c r="I63" s="2"/>
      <c r="J63" s="2"/>
      <c r="K63" s="49"/>
      <c r="L63" s="1"/>
      <c r="M63" s="244"/>
      <c r="N63" s="2"/>
      <c r="O63" s="49"/>
      <c r="P63" s="1"/>
      <c r="Q63" s="49"/>
      <c r="R63" s="49"/>
      <c r="S63" s="234"/>
      <c r="T63" s="321"/>
      <c r="V63" s="1231"/>
      <c r="W63" s="1232"/>
      <c r="X63" s="1174"/>
    </row>
    <row r="64" spans="1:24" ht="10.5">
      <c r="A64" s="2"/>
      <c r="B64" s="235"/>
      <c r="C64" s="204"/>
      <c r="E64" s="237" t="s">
        <v>66</v>
      </c>
      <c r="F64" s="2"/>
      <c r="G64" s="2"/>
      <c r="H64" s="202" t="s">
        <v>67</v>
      </c>
      <c r="I64" s="2"/>
      <c r="J64" s="2"/>
      <c r="K64" s="49"/>
      <c r="L64" s="1"/>
      <c r="M64" s="245" t="s">
        <v>67</v>
      </c>
      <c r="N64" s="2"/>
      <c r="O64" s="49"/>
      <c r="P64" s="1"/>
      <c r="T64" s="321"/>
      <c r="V64" s="1231"/>
      <c r="W64" s="1232"/>
      <c r="X64" s="1174"/>
    </row>
    <row r="65" spans="1:24" ht="12" customHeight="1">
      <c r="A65" s="2"/>
      <c r="B65" s="210"/>
      <c r="C65" s="206"/>
      <c r="D65" s="236" t="s">
        <v>65</v>
      </c>
      <c r="E65" s="355"/>
      <c r="F65" s="2"/>
      <c r="G65" s="2"/>
      <c r="H65" s="325">
        <f>SUM(H70:H81)</f>
        <v>0</v>
      </c>
      <c r="I65" s="326"/>
      <c r="J65" s="2"/>
      <c r="K65" s="49"/>
      <c r="L65" s="1"/>
      <c r="M65" s="1191">
        <f>SUM(M70:M81)</f>
        <v>0</v>
      </c>
      <c r="N65" s="326"/>
      <c r="O65" s="49"/>
      <c r="P65" s="1"/>
      <c r="S65" s="323">
        <f>H65+M65</f>
        <v>0</v>
      </c>
      <c r="T65" s="321"/>
      <c r="V65" s="1231"/>
      <c r="W65" s="1232"/>
      <c r="X65" s="1174"/>
    </row>
    <row r="66" spans="1:24" ht="12" customHeight="1">
      <c r="A66" s="2"/>
      <c r="B66" s="210"/>
      <c r="C66" s="206"/>
      <c r="D66" s="236" t="s">
        <v>74</v>
      </c>
      <c r="E66" s="356"/>
      <c r="F66" s="2"/>
      <c r="G66" s="2"/>
      <c r="H66" s="338">
        <f>H65*SUM(E65,E66)</f>
        <v>0</v>
      </c>
      <c r="I66" s="327" t="str">
        <f>IF(H66&gt;0,"SWS","")</f>
        <v/>
      </c>
      <c r="J66" s="2"/>
      <c r="K66" s="49"/>
      <c r="L66" s="1"/>
      <c r="M66" s="1192">
        <f>M65*SUM(E65,E66)</f>
        <v>0</v>
      </c>
      <c r="N66" s="327" t="str">
        <f>IF(M66&gt;0,"SWS","")</f>
        <v/>
      </c>
      <c r="O66" s="49"/>
      <c r="P66" s="1"/>
      <c r="S66" s="55">
        <f>SUM(H66,M66)</f>
        <v>0</v>
      </c>
      <c r="T66" s="321"/>
      <c r="V66" s="1231"/>
      <c r="W66" s="1232"/>
      <c r="X66" s="1174"/>
    </row>
    <row r="67" spans="1:24" ht="10.5">
      <c r="A67" s="2"/>
      <c r="B67" s="13"/>
      <c r="C67" s="2"/>
      <c r="D67" s="2"/>
      <c r="E67" s="324">
        <f>SUM(E65:E66)</f>
        <v>0</v>
      </c>
      <c r="F67" s="2"/>
      <c r="G67" s="2"/>
      <c r="H67" s="2"/>
      <c r="I67" s="2"/>
      <c r="J67" s="2"/>
      <c r="K67" s="49"/>
      <c r="L67" s="1"/>
      <c r="M67" s="244"/>
      <c r="N67" s="2"/>
      <c r="O67" s="49"/>
      <c r="P67" s="49"/>
      <c r="Q67" s="49"/>
      <c r="R67" s="49"/>
      <c r="S67" s="49"/>
      <c r="T67" s="321"/>
      <c r="V67" s="1231"/>
      <c r="W67" s="1232"/>
      <c r="X67" s="1174"/>
    </row>
    <row r="68" spans="1:24">
      <c r="A68" s="2"/>
      <c r="B68" s="13"/>
      <c r="C68" s="2"/>
      <c r="D68" s="2"/>
      <c r="F68" s="2"/>
      <c r="G68" s="2"/>
      <c r="H68" s="2"/>
      <c r="I68" s="2"/>
      <c r="J68" s="2"/>
      <c r="K68" s="113" t="s">
        <v>97</v>
      </c>
      <c r="L68" s="1"/>
      <c r="M68" s="244"/>
      <c r="N68" s="2"/>
      <c r="O68" s="49"/>
      <c r="P68" s="113" t="s">
        <v>97</v>
      </c>
      <c r="Q68" s="49"/>
      <c r="R68" s="49"/>
      <c r="S68" s="49"/>
      <c r="T68" s="321"/>
      <c r="V68" s="1231"/>
      <c r="W68" s="1232"/>
      <c r="X68" s="1174"/>
    </row>
    <row r="69" spans="1:24" ht="13.4" customHeight="1">
      <c r="A69" s="2"/>
      <c r="B69" s="13"/>
      <c r="C69" s="2"/>
      <c r="D69" s="2"/>
      <c r="E69" s="114"/>
      <c r="F69" s="2"/>
      <c r="G69" s="2"/>
      <c r="H69" s="113" t="s">
        <v>83</v>
      </c>
      <c r="I69" s="113" t="s">
        <v>31</v>
      </c>
      <c r="J69" s="113" t="s">
        <v>32</v>
      </c>
      <c r="K69" s="113" t="s">
        <v>96</v>
      </c>
      <c r="L69" s="113" t="s">
        <v>94</v>
      </c>
      <c r="M69" s="319" t="s">
        <v>83</v>
      </c>
      <c r="N69" s="113" t="s">
        <v>31</v>
      </c>
      <c r="O69" s="113" t="s">
        <v>32</v>
      </c>
      <c r="P69" s="113" t="s">
        <v>96</v>
      </c>
      <c r="Q69" s="113" t="s">
        <v>94</v>
      </c>
      <c r="R69" s="113"/>
      <c r="S69" s="49"/>
      <c r="T69" s="321"/>
      <c r="V69" s="1231"/>
      <c r="W69" s="1232"/>
      <c r="X69" s="1174"/>
    </row>
    <row r="70" spans="1:24" ht="11.15" customHeight="1">
      <c r="A70" s="2"/>
      <c r="B70" s="13"/>
      <c r="C70" s="2"/>
      <c r="D70" s="725"/>
      <c r="E70" s="725"/>
      <c r="F70" s="731" t="s">
        <v>201</v>
      </c>
      <c r="G70" s="2"/>
      <c r="H70" s="371"/>
      <c r="I70" s="372"/>
      <c r="J70" s="373"/>
      <c r="K70" s="374"/>
      <c r="L70" s="337">
        <f>IFERROR($E$67*H70*I70/J70*K70,0)</f>
        <v>0</v>
      </c>
      <c r="M70" s="376"/>
      <c r="N70" s="372"/>
      <c r="O70" s="373"/>
      <c r="P70" s="374"/>
      <c r="Q70" s="115">
        <f>IFERROR($E$67*M70*N70/O70*P70,0)</f>
        <v>0</v>
      </c>
      <c r="R70" s="342"/>
      <c r="S70" s="49"/>
      <c r="T70" s="321"/>
      <c r="V70" s="1200"/>
      <c r="W70" s="1201"/>
      <c r="X70" s="1202"/>
    </row>
    <row r="71" spans="1:24" ht="11.15" customHeight="1">
      <c r="B71" s="13"/>
      <c r="C71" s="2"/>
      <c r="D71" s="726"/>
      <c r="E71" s="726"/>
      <c r="F71" s="732" t="s">
        <v>202</v>
      </c>
      <c r="G71" s="2"/>
      <c r="H71" s="375"/>
      <c r="I71" s="372"/>
      <c r="J71" s="373"/>
      <c r="K71" s="374"/>
      <c r="L71" s="337">
        <f>IFERROR($E$67*H71*I71/J71*K71,0)</f>
        <v>0</v>
      </c>
      <c r="M71" s="377"/>
      <c r="N71" s="372"/>
      <c r="O71" s="373"/>
      <c r="P71" s="374"/>
      <c r="Q71" s="115">
        <f t="shared" ref="Q71:Q81" si="0">IFERROR($E$67*M71*N71/O71*P71,0)</f>
        <v>0</v>
      </c>
      <c r="R71" s="342"/>
      <c r="S71" s="49"/>
      <c r="T71" s="321"/>
      <c r="V71" s="1200"/>
      <c r="W71" s="1201"/>
      <c r="X71" s="1202"/>
    </row>
    <row r="72" spans="1:24" ht="11.5" customHeight="1">
      <c r="B72" s="13"/>
      <c r="C72" s="2"/>
      <c r="D72" s="726"/>
      <c r="E72" s="726"/>
      <c r="F72" s="732" t="s">
        <v>203</v>
      </c>
      <c r="G72" s="2"/>
      <c r="H72" s="375"/>
      <c r="I72" s="372"/>
      <c r="J72" s="373"/>
      <c r="K72" s="374"/>
      <c r="L72" s="337">
        <f t="shared" ref="L72:L81" si="1">IFERROR($E$67*H72*I72/J72*K72,0)</f>
        <v>0</v>
      </c>
      <c r="M72" s="377"/>
      <c r="N72" s="372"/>
      <c r="O72" s="373"/>
      <c r="P72" s="374"/>
      <c r="Q72" s="115">
        <f t="shared" si="0"/>
        <v>0</v>
      </c>
      <c r="R72" s="342"/>
      <c r="S72" s="49"/>
      <c r="T72" s="321"/>
      <c r="V72" s="1200"/>
      <c r="W72" s="1201"/>
      <c r="X72" s="1202"/>
    </row>
    <row r="73" spans="1:24">
      <c r="B73" s="13"/>
      <c r="C73" s="2"/>
      <c r="D73" s="726"/>
      <c r="E73" s="726"/>
      <c r="F73" s="732"/>
      <c r="G73" s="2"/>
      <c r="H73" s="375"/>
      <c r="I73" s="372"/>
      <c r="J73" s="373"/>
      <c r="K73" s="374"/>
      <c r="L73" s="337">
        <f t="shared" si="1"/>
        <v>0</v>
      </c>
      <c r="M73" s="377"/>
      <c r="N73" s="372"/>
      <c r="O73" s="373"/>
      <c r="P73" s="374"/>
      <c r="Q73" s="115">
        <f t="shared" si="0"/>
        <v>0</v>
      </c>
      <c r="R73" s="342"/>
      <c r="S73" s="49"/>
      <c r="T73" s="321"/>
      <c r="V73" s="1200"/>
      <c r="W73" s="1201"/>
      <c r="X73" s="1202"/>
    </row>
    <row r="74" spans="1:24">
      <c r="B74" s="13"/>
      <c r="C74" s="2"/>
      <c r="D74" s="727"/>
      <c r="E74" s="728"/>
      <c r="F74" s="732"/>
      <c r="G74" s="2"/>
      <c r="H74" s="375"/>
      <c r="I74" s="372"/>
      <c r="J74" s="373"/>
      <c r="K74" s="374"/>
      <c r="L74" s="337">
        <f t="shared" si="1"/>
        <v>0</v>
      </c>
      <c r="M74" s="377"/>
      <c r="N74" s="372"/>
      <c r="O74" s="373"/>
      <c r="P74" s="374"/>
      <c r="Q74" s="115">
        <f t="shared" si="0"/>
        <v>0</v>
      </c>
      <c r="R74" s="342"/>
      <c r="S74" s="49"/>
      <c r="T74" s="321"/>
      <c r="V74" s="1200"/>
      <c r="W74" s="1201"/>
      <c r="X74" s="1202"/>
    </row>
    <row r="75" spans="1:24">
      <c r="B75" s="13"/>
      <c r="C75" s="2"/>
      <c r="D75" s="727"/>
      <c r="E75" s="728"/>
      <c r="F75" s="732"/>
      <c r="G75" s="2"/>
      <c r="H75" s="375"/>
      <c r="I75" s="372"/>
      <c r="J75" s="373"/>
      <c r="K75" s="374"/>
      <c r="L75" s="337">
        <f t="shared" si="1"/>
        <v>0</v>
      </c>
      <c r="M75" s="377"/>
      <c r="N75" s="372"/>
      <c r="O75" s="373"/>
      <c r="P75" s="374"/>
      <c r="Q75" s="115">
        <f t="shared" si="0"/>
        <v>0</v>
      </c>
      <c r="R75" s="342"/>
      <c r="S75" s="49"/>
      <c r="T75" s="321"/>
      <c r="V75" s="1200"/>
      <c r="W75" s="1201"/>
      <c r="X75" s="1202"/>
    </row>
    <row r="76" spans="1:24">
      <c r="B76" s="13"/>
      <c r="C76" s="2"/>
      <c r="D76" s="727"/>
      <c r="E76" s="728"/>
      <c r="F76" s="732"/>
      <c r="G76" s="2"/>
      <c r="H76" s="375"/>
      <c r="I76" s="372"/>
      <c r="J76" s="373"/>
      <c r="K76" s="374"/>
      <c r="L76" s="337">
        <f t="shared" si="1"/>
        <v>0</v>
      </c>
      <c r="M76" s="377"/>
      <c r="N76" s="372"/>
      <c r="O76" s="373"/>
      <c r="P76" s="374"/>
      <c r="Q76" s="115">
        <f t="shared" si="0"/>
        <v>0</v>
      </c>
      <c r="R76" s="342"/>
      <c r="S76" s="49"/>
      <c r="T76" s="321"/>
      <c r="V76" s="1200"/>
      <c r="W76" s="1201"/>
      <c r="X76" s="1202"/>
    </row>
    <row r="77" spans="1:24">
      <c r="B77" s="13"/>
      <c r="C77" s="2"/>
      <c r="D77" s="727"/>
      <c r="E77" s="728"/>
      <c r="F77" s="732"/>
      <c r="G77" s="2"/>
      <c r="H77" s="375"/>
      <c r="I77" s="372"/>
      <c r="J77" s="373"/>
      <c r="K77" s="374"/>
      <c r="L77" s="337">
        <f t="shared" si="1"/>
        <v>0</v>
      </c>
      <c r="M77" s="377"/>
      <c r="N77" s="372"/>
      <c r="O77" s="373"/>
      <c r="P77" s="374"/>
      <c r="Q77" s="115">
        <f t="shared" si="0"/>
        <v>0</v>
      </c>
      <c r="R77" s="342"/>
      <c r="S77" s="49"/>
      <c r="T77" s="321"/>
      <c r="V77" s="1200"/>
      <c r="W77" s="1201"/>
      <c r="X77" s="1202"/>
    </row>
    <row r="78" spans="1:24">
      <c r="B78" s="13"/>
      <c r="C78" s="2"/>
      <c r="D78" s="727"/>
      <c r="E78" s="728"/>
      <c r="F78" s="732"/>
      <c r="G78" s="2"/>
      <c r="H78" s="375"/>
      <c r="I78" s="372"/>
      <c r="J78" s="373"/>
      <c r="K78" s="374"/>
      <c r="L78" s="337">
        <f t="shared" si="1"/>
        <v>0</v>
      </c>
      <c r="M78" s="377"/>
      <c r="N78" s="372"/>
      <c r="O78" s="373"/>
      <c r="P78" s="374"/>
      <c r="Q78" s="115">
        <f t="shared" si="0"/>
        <v>0</v>
      </c>
      <c r="R78" s="342"/>
      <c r="S78" s="49"/>
      <c r="T78" s="321"/>
      <c r="V78" s="1200"/>
      <c r="W78" s="1201"/>
      <c r="X78" s="1202"/>
    </row>
    <row r="79" spans="1:24">
      <c r="B79" s="13"/>
      <c r="C79" s="2"/>
      <c r="D79" s="727"/>
      <c r="E79" s="728"/>
      <c r="F79" s="732"/>
      <c r="G79" s="2"/>
      <c r="H79" s="375"/>
      <c r="I79" s="372"/>
      <c r="J79" s="373"/>
      <c r="K79" s="374"/>
      <c r="L79" s="337">
        <f t="shared" si="1"/>
        <v>0</v>
      </c>
      <c r="M79" s="377"/>
      <c r="N79" s="372"/>
      <c r="O79" s="373"/>
      <c r="P79" s="374"/>
      <c r="Q79" s="115">
        <f t="shared" si="0"/>
        <v>0</v>
      </c>
      <c r="R79" s="342"/>
      <c r="S79" s="49"/>
      <c r="T79" s="321"/>
      <c r="V79" s="1200"/>
      <c r="W79" s="1201"/>
      <c r="X79" s="1202"/>
    </row>
    <row r="80" spans="1:24">
      <c r="B80" s="13"/>
      <c r="C80" s="2"/>
      <c r="D80" s="727"/>
      <c r="E80" s="728"/>
      <c r="F80" s="732"/>
      <c r="G80" s="2"/>
      <c r="H80" s="375"/>
      <c r="I80" s="372"/>
      <c r="J80" s="373"/>
      <c r="K80" s="374"/>
      <c r="L80" s="337">
        <f t="shared" si="1"/>
        <v>0</v>
      </c>
      <c r="M80" s="377"/>
      <c r="N80" s="372"/>
      <c r="O80" s="373"/>
      <c r="P80" s="374"/>
      <c r="Q80" s="115">
        <f t="shared" si="0"/>
        <v>0</v>
      </c>
      <c r="R80" s="342"/>
      <c r="S80" s="49"/>
      <c r="T80" s="321"/>
      <c r="V80" s="1200"/>
      <c r="W80" s="1201"/>
      <c r="X80" s="1202"/>
    </row>
    <row r="81" spans="1:24">
      <c r="B81" s="13"/>
      <c r="C81" s="2"/>
      <c r="D81" s="729"/>
      <c r="E81" s="730"/>
      <c r="F81" s="733"/>
      <c r="G81" s="2"/>
      <c r="H81" s="375"/>
      <c r="I81" s="372"/>
      <c r="J81" s="373"/>
      <c r="K81" s="374"/>
      <c r="L81" s="337">
        <f t="shared" si="1"/>
        <v>0</v>
      </c>
      <c r="M81" s="377"/>
      <c r="N81" s="372"/>
      <c r="O81" s="373"/>
      <c r="P81" s="374"/>
      <c r="Q81" s="115">
        <f t="shared" si="0"/>
        <v>0</v>
      </c>
      <c r="R81" s="342"/>
      <c r="S81" s="49"/>
      <c r="T81" s="321"/>
      <c r="V81" s="1200"/>
      <c r="W81" s="1201"/>
      <c r="X81" s="1202"/>
    </row>
    <row r="82" spans="1:24">
      <c r="B82" s="13"/>
      <c r="C82" s="2"/>
      <c r="D82" s="2"/>
      <c r="E82" s="2"/>
      <c r="F82" s="2"/>
      <c r="G82" s="2"/>
      <c r="H82" s="49"/>
      <c r="I82" s="2"/>
      <c r="J82" s="49"/>
      <c r="L82" s="49"/>
      <c r="M82" s="335"/>
      <c r="N82" s="49"/>
      <c r="O82" s="49"/>
      <c r="P82" s="49"/>
      <c r="Q82" s="49"/>
      <c r="R82" s="49"/>
      <c r="S82" s="208" t="s">
        <v>99</v>
      </c>
      <c r="T82" s="321"/>
      <c r="V82" s="1231"/>
      <c r="W82" s="1232"/>
      <c r="X82" s="1174"/>
    </row>
    <row r="83" spans="1:24" ht="12" customHeight="1">
      <c r="B83" s="13"/>
      <c r="C83" s="2"/>
      <c r="D83" s="236" t="s">
        <v>182</v>
      </c>
      <c r="E83" s="2"/>
      <c r="F83" s="2"/>
      <c r="G83" s="2"/>
      <c r="H83" s="49"/>
      <c r="I83" s="2"/>
      <c r="K83" s="116" t="s">
        <v>196</v>
      </c>
      <c r="L83" s="357"/>
      <c r="M83" s="336"/>
      <c r="N83" s="1"/>
      <c r="O83" s="1"/>
      <c r="P83" s="116" t="s">
        <v>196</v>
      </c>
      <c r="Q83" s="358"/>
      <c r="R83" s="343"/>
      <c r="S83" s="208" t="s">
        <v>98</v>
      </c>
      <c r="T83" s="321"/>
      <c r="V83" s="1231"/>
      <c r="W83" s="1232"/>
      <c r="X83" s="1174"/>
    </row>
    <row r="84" spans="1:24" ht="12" customHeight="1">
      <c r="B84" s="13"/>
      <c r="C84" s="2"/>
      <c r="D84" s="236" t="s">
        <v>183</v>
      </c>
      <c r="E84" s="350"/>
      <c r="F84" s="2"/>
      <c r="G84" s="2"/>
      <c r="H84" s="49"/>
      <c r="I84" s="2"/>
      <c r="J84" s="49"/>
      <c r="K84" s="435" t="s">
        <v>26</v>
      </c>
      <c r="L84" s="334">
        <f>IF(L83=0,SUM(L70:L81),L83)</f>
        <v>0</v>
      </c>
      <c r="M84" s="336"/>
      <c r="N84" s="1"/>
      <c r="O84" s="1"/>
      <c r="P84" s="435" t="s">
        <v>26</v>
      </c>
      <c r="Q84" s="118">
        <f>IF(Q83=0,SUM(Q70:Q81),Q83)</f>
        <v>0</v>
      </c>
      <c r="R84" s="344"/>
      <c r="S84" s="118">
        <f>L84+Q84*'HAW-Kennwerte'!$R$30</f>
        <v>0</v>
      </c>
      <c r="T84" s="321"/>
      <c r="V84" s="1200"/>
      <c r="W84" s="1201"/>
      <c r="X84" s="1202"/>
    </row>
    <row r="85" spans="1:24" ht="10.5">
      <c r="B85" s="13"/>
      <c r="C85" s="2"/>
      <c r="D85" s="2"/>
      <c r="E85" s="2"/>
      <c r="F85" s="2"/>
      <c r="G85" s="2"/>
      <c r="H85" s="49"/>
      <c r="I85" s="2"/>
      <c r="J85" s="49"/>
      <c r="K85" s="242"/>
      <c r="L85" s="2"/>
      <c r="M85" s="336"/>
      <c r="N85" s="1"/>
      <c r="O85" s="1"/>
      <c r="P85" s="49"/>
      <c r="Q85" s="242"/>
      <c r="R85" s="242"/>
      <c r="S85" s="242"/>
      <c r="T85" s="321"/>
      <c r="V85" s="1231"/>
      <c r="W85" s="1232"/>
      <c r="X85" s="1174"/>
    </row>
    <row r="86" spans="1:24" ht="12" customHeight="1">
      <c r="B86" s="13"/>
      <c r="C86" s="2"/>
      <c r="D86" s="716" t="s">
        <v>194</v>
      </c>
      <c r="E86" s="479" t="s">
        <v>195</v>
      </c>
      <c r="F86" s="2"/>
      <c r="G86" s="2"/>
      <c r="I86" s="2"/>
      <c r="J86" s="208"/>
      <c r="K86" s="242"/>
      <c r="L86" s="204"/>
      <c r="M86" s="204"/>
      <c r="N86" s="203"/>
      <c r="O86" s="203"/>
      <c r="P86" s="791"/>
      <c r="Q86" s="202"/>
      <c r="R86" s="607"/>
      <c r="S86" s="607"/>
      <c r="T86" s="321"/>
      <c r="V86" s="1231"/>
      <c r="W86" s="1232"/>
      <c r="X86" s="1174"/>
    </row>
    <row r="87" spans="1:24" ht="12" customHeight="1">
      <c r="B87" s="13"/>
      <c r="C87" s="2"/>
      <c r="D87" s="2"/>
      <c r="E87" s="2"/>
      <c r="F87" s="2"/>
      <c r="G87" s="2"/>
      <c r="H87" s="49"/>
      <c r="I87" s="2"/>
      <c r="J87" s="202"/>
      <c r="K87" s="206">
        <f>IF($Q$87&gt;2023,$Q$87-6,"")</f>
        <v>2019</v>
      </c>
      <c r="L87" s="206">
        <f>IF($Q$87&gt;2023,$Q$87-5,"")</f>
        <v>2020</v>
      </c>
      <c r="M87" s="206">
        <f>IF($Q$87&gt;2023,$Q$87-4,"")</f>
        <v>2021</v>
      </c>
      <c r="N87" s="206">
        <f>IF($Q$87&gt;2023,$Q$87-3,"")</f>
        <v>2022</v>
      </c>
      <c r="O87" s="206">
        <f>IF($Q$87&gt;2023,$Q$87-2,"")</f>
        <v>2023</v>
      </c>
      <c r="P87" s="206">
        <f>IF($Q$87&gt;2023,$Q$87-1,"")</f>
        <v>2024</v>
      </c>
      <c r="Q87" s="711">
        <v>2025</v>
      </c>
      <c r="R87" s="50"/>
      <c r="S87" s="202"/>
      <c r="T87" s="321"/>
      <c r="V87" s="1231"/>
      <c r="W87" s="1232"/>
      <c r="X87" s="1174"/>
    </row>
    <row r="88" spans="1:24" ht="12" customHeight="1">
      <c r="B88" s="13"/>
      <c r="C88" s="2"/>
      <c r="D88" s="2"/>
      <c r="E88" s="2"/>
      <c r="F88" s="2"/>
      <c r="G88" s="2"/>
      <c r="H88" s="49"/>
      <c r="I88" s="2"/>
      <c r="J88" s="435" t="s">
        <v>245</v>
      </c>
      <c r="K88" s="792"/>
      <c r="L88" s="792"/>
      <c r="M88" s="792"/>
      <c r="N88" s="792"/>
      <c r="O88" s="792"/>
      <c r="P88" s="792"/>
      <c r="Q88" s="792"/>
      <c r="R88" s="50"/>
      <c r="S88" s="744">
        <f>IF(S89&gt;0,IF(S89&gt;1,0,S89),IFERROR(IF((K88*3+L88*4+M88*5+N88*6+O88*7+P88*8+Q88*9)/42&gt;1,1,(K88*3+L88*4+M88*5+N88*6+O88*7+P88*8+Q88*9)/42),""))</f>
        <v>0</v>
      </c>
      <c r="T88" s="321"/>
      <c r="V88" s="1233"/>
      <c r="W88" s="1234"/>
      <c r="X88" s="1235"/>
    </row>
    <row r="89" spans="1:24" ht="12" customHeight="1">
      <c r="B89" s="13"/>
      <c r="C89" s="2"/>
      <c r="D89" s="2"/>
      <c r="E89" s="2"/>
      <c r="F89" s="2"/>
      <c r="G89" s="2"/>
      <c r="H89" s="49"/>
      <c r="I89" s="2"/>
      <c r="J89" s="208"/>
      <c r="K89" s="743" t="s">
        <v>246</v>
      </c>
      <c r="L89" s="203"/>
      <c r="M89" s="203"/>
      <c r="N89" s="203"/>
      <c r="O89" s="203"/>
      <c r="P89" s="607"/>
      <c r="Q89" s="202"/>
      <c r="R89" s="50"/>
      <c r="S89" s="1188"/>
      <c r="T89" s="321"/>
    </row>
    <row r="90" spans="1:24">
      <c r="B90" s="211"/>
      <c r="C90" s="46"/>
      <c r="D90" s="46"/>
      <c r="E90" s="46"/>
      <c r="F90" s="46"/>
      <c r="G90" s="46"/>
      <c r="H90" s="46"/>
      <c r="I90" s="46"/>
      <c r="J90" s="119"/>
      <c r="K90" s="46"/>
      <c r="L90" s="119"/>
      <c r="M90" s="46"/>
      <c r="N90" s="119"/>
      <c r="O90" s="230"/>
      <c r="P90" s="119"/>
      <c r="Q90" s="119"/>
      <c r="R90" s="119"/>
      <c r="S90" s="119"/>
      <c r="T90" s="322"/>
    </row>
    <row r="91" spans="1:24">
      <c r="B91" s="12" t="s">
        <v>100</v>
      </c>
      <c r="H91" s="2"/>
      <c r="I91" s="2"/>
      <c r="J91" s="49"/>
      <c r="K91" s="2"/>
      <c r="L91" s="49"/>
      <c r="M91" s="2"/>
      <c r="N91" s="49"/>
      <c r="O91" s="49"/>
      <c r="P91" s="49"/>
      <c r="Q91" s="49"/>
      <c r="R91" s="49"/>
      <c r="S91" s="49"/>
      <c r="T91" s="121"/>
    </row>
    <row r="92" spans="1:24">
      <c r="A92" s="106"/>
      <c r="B92" s="209" t="s">
        <v>68</v>
      </c>
      <c r="C92" s="106"/>
      <c r="D92" s="106"/>
      <c r="E92" s="106"/>
      <c r="F92" s="106"/>
      <c r="G92" s="106"/>
      <c r="H92" s="106"/>
      <c r="I92" s="106"/>
      <c r="J92" s="107"/>
      <c r="K92" s="106"/>
      <c r="L92" s="107"/>
      <c r="M92" s="106"/>
      <c r="N92" s="107"/>
      <c r="O92" s="107"/>
      <c r="P92" s="107"/>
      <c r="Q92" s="107"/>
      <c r="R92" s="107"/>
      <c r="S92" s="107"/>
      <c r="T92" s="107"/>
    </row>
    <row r="93" spans="1:24">
      <c r="Q93" s="201"/>
      <c r="R93" s="201"/>
      <c r="S93" s="201" t="str">
        <f>HAW!B28</f>
        <v>Kennwertverfahren NRW für HAW; HIS-Institut für Hochschulentwicklung e.V. (24.04.2026)</v>
      </c>
      <c r="T93" s="201"/>
    </row>
    <row r="95" spans="1:24">
      <c r="B95" s="229"/>
      <c r="C95" s="202"/>
    </row>
    <row r="96" spans="1:24" ht="10.5">
      <c r="B96" s="794" t="str">
        <f>IF(B8=0,B7,CONCATENATE(B7,B8))</f>
        <v>Hochschule …</v>
      </c>
      <c r="C96" s="795"/>
      <c r="D96" s="795"/>
      <c r="E96" s="795"/>
      <c r="F96" s="795"/>
      <c r="G96" s="795"/>
      <c r="H96" s="795"/>
      <c r="I96" s="795"/>
      <c r="J96" s="796"/>
      <c r="K96" s="795"/>
      <c r="L96" s="796"/>
      <c r="M96" s="795"/>
      <c r="N96" s="796"/>
      <c r="O96" s="796"/>
      <c r="P96" s="796"/>
      <c r="Q96" s="796"/>
      <c r="R96" s="796"/>
      <c r="S96" s="796"/>
    </row>
    <row r="97" spans="2:19">
      <c r="B97" s="795" t="str">
        <f>B9</f>
        <v>[Fakultät/Fachbereich]</v>
      </c>
      <c r="C97" s="795"/>
      <c r="D97" s="795"/>
      <c r="E97" s="795"/>
      <c r="F97" s="795"/>
      <c r="G97" s="795"/>
      <c r="H97" s="795"/>
      <c r="I97" s="795"/>
      <c r="J97" s="796"/>
      <c r="K97" s="795"/>
      <c r="L97" s="796"/>
      <c r="M97" s="795"/>
      <c r="N97" s="796"/>
      <c r="O97" s="796"/>
      <c r="P97" s="796"/>
      <c r="Q97" s="796"/>
      <c r="R97" s="796"/>
      <c r="S97" s="796"/>
    </row>
    <row r="98" spans="2:19">
      <c r="B98" s="795" t="str">
        <f>B10</f>
        <v>[Department, Institut o.a.]</v>
      </c>
      <c r="C98" s="795"/>
      <c r="D98" s="795"/>
      <c r="E98" s="795"/>
      <c r="F98" s="795"/>
      <c r="G98" s="795"/>
      <c r="H98" s="795"/>
      <c r="I98" s="795"/>
      <c r="J98" s="796"/>
      <c r="K98" s="795"/>
      <c r="L98" s="796"/>
      <c r="M98" s="795"/>
      <c r="N98" s="796"/>
      <c r="O98" s="796"/>
      <c r="P98" s="796"/>
      <c r="Q98" s="796"/>
      <c r="R98" s="796"/>
      <c r="S98" s="796"/>
    </row>
    <row r="99" spans="2:19">
      <c r="B99" s="795" t="str">
        <f>CONCATENATE(B12,": ",B13)</f>
        <v>Lehr- und Forschungsbereich: Elektro- und Informationstechnik</v>
      </c>
      <c r="C99" s="795"/>
      <c r="D99" s="795"/>
      <c r="E99" s="795"/>
      <c r="F99" s="795"/>
      <c r="G99" s="795"/>
      <c r="H99" s="795"/>
      <c r="I99" s="795"/>
      <c r="J99" s="796"/>
      <c r="K99" s="795"/>
      <c r="L99" s="796"/>
      <c r="M99" s="795"/>
      <c r="N99" s="796"/>
      <c r="O99" s="796"/>
      <c r="P99" s="796"/>
      <c r="Q99" s="796"/>
      <c r="R99" s="796"/>
      <c r="S99" s="796"/>
    </row>
    <row r="100" spans="2:19">
      <c r="B100" s="202"/>
      <c r="C100" s="202"/>
      <c r="D100" s="202"/>
      <c r="E100" s="202"/>
      <c r="F100" s="202"/>
      <c r="G100" s="202"/>
      <c r="H100" s="202"/>
      <c r="I100" s="202"/>
      <c r="J100" s="607"/>
      <c r="K100" s="202"/>
      <c r="L100" s="607"/>
      <c r="M100" s="202"/>
      <c r="N100" s="607"/>
      <c r="O100" s="607"/>
      <c r="P100" s="607"/>
      <c r="Q100" s="607"/>
      <c r="R100" s="607"/>
      <c r="S100" s="607"/>
    </row>
    <row r="101" spans="2:19">
      <c r="B101" s="110" t="s">
        <v>235</v>
      </c>
      <c r="C101" s="206"/>
      <c r="D101" s="206"/>
      <c r="E101" s="206"/>
      <c r="F101" s="206"/>
      <c r="G101" s="206"/>
      <c r="H101" s="206"/>
      <c r="I101" s="206"/>
      <c r="J101" s="208"/>
      <c r="K101" s="206"/>
      <c r="L101" s="208"/>
      <c r="M101" s="206"/>
      <c r="N101" s="208"/>
      <c r="O101" s="208"/>
      <c r="P101" s="208"/>
      <c r="Q101" s="208"/>
      <c r="R101" s="208"/>
      <c r="S101" s="208"/>
    </row>
    <row r="102" spans="2:19">
      <c r="B102" s="909"/>
      <c r="C102" s="910"/>
      <c r="D102" s="910"/>
      <c r="E102" s="910"/>
      <c r="F102" s="910"/>
      <c r="G102" s="910"/>
      <c r="H102" s="910"/>
      <c r="I102" s="910"/>
      <c r="J102" s="544"/>
      <c r="K102" s="910"/>
      <c r="L102" s="544"/>
      <c r="M102" s="910"/>
      <c r="N102" s="544"/>
      <c r="O102" s="544"/>
      <c r="P102" s="544"/>
      <c r="Q102" s="544"/>
      <c r="R102" s="544"/>
      <c r="S102" s="1173"/>
    </row>
    <row r="103" spans="2:19" ht="10.5">
      <c r="B103" s="210"/>
      <c r="C103" s="206"/>
      <c r="D103" s="206"/>
      <c r="E103" s="206"/>
      <c r="F103" s="206"/>
      <c r="G103" s="1166" t="s">
        <v>249</v>
      </c>
      <c r="H103" s="797">
        <f>SUM(H107:H156)</f>
        <v>0</v>
      </c>
      <c r="I103" s="206"/>
      <c r="J103" s="208"/>
      <c r="K103" s="206"/>
      <c r="L103" s="208"/>
      <c r="M103" s="206"/>
      <c r="N103" s="208"/>
      <c r="O103" s="1166" t="s">
        <v>265</v>
      </c>
      <c r="P103" s="1353">
        <f>SUMPRODUCT(H107:H156,P107:P156)+SUMPRODUCT(H107:H156,Q107:Q156)</f>
        <v>0</v>
      </c>
      <c r="Q103" s="1354"/>
      <c r="R103" s="208"/>
      <c r="S103" s="1174"/>
    </row>
    <row r="104" spans="2:19">
      <c r="B104" s="210"/>
      <c r="C104" s="206"/>
      <c r="D104" s="206"/>
      <c r="E104" s="206"/>
      <c r="F104" s="206"/>
      <c r="G104" s="207"/>
      <c r="H104" s="798"/>
      <c r="I104" s="206"/>
      <c r="J104" s="208"/>
      <c r="K104" s="206"/>
      <c r="L104" s="208"/>
      <c r="M104" s="206"/>
      <c r="N104" s="208"/>
      <c r="O104" s="207"/>
      <c r="P104" s="799" t="str">
        <f>IF($P103=0,"",SUMPRODUCT($H107:$H156,P107:P156)/$P103)</f>
        <v/>
      </c>
      <c r="Q104" s="799" t="str">
        <f>IF($P103=0,"",SUMPRODUCT($H107:$H156,Q107:Q156)/$P103)</f>
        <v/>
      </c>
      <c r="R104" s="208"/>
      <c r="S104" s="1174"/>
    </row>
    <row r="105" spans="2:19" ht="10.5">
      <c r="B105" s="210"/>
      <c r="C105" s="206"/>
      <c r="D105" s="206"/>
      <c r="E105" s="206"/>
      <c r="F105" s="206"/>
      <c r="G105" s="206"/>
      <c r="H105" s="206"/>
      <c r="I105" s="206"/>
      <c r="J105" s="208"/>
      <c r="K105" s="206"/>
      <c r="L105" s="208"/>
      <c r="M105" s="206"/>
      <c r="N105" s="208"/>
      <c r="O105" s="208"/>
      <c r="P105" s="1355"/>
      <c r="Q105" s="1355"/>
      <c r="R105" s="208"/>
      <c r="S105" s="1174"/>
    </row>
    <row r="106" spans="2:19" ht="10.5">
      <c r="B106" s="1175" t="s">
        <v>250</v>
      </c>
      <c r="C106" s="800" t="s">
        <v>251</v>
      </c>
      <c r="D106" s="238"/>
      <c r="E106" s="238"/>
      <c r="F106" s="238"/>
      <c r="G106" s="238"/>
      <c r="H106" s="239" t="s">
        <v>252</v>
      </c>
      <c r="I106" s="238" t="s">
        <v>253</v>
      </c>
      <c r="J106" s="238"/>
      <c r="K106" s="239"/>
      <c r="L106" s="238"/>
      <c r="M106" s="239"/>
      <c r="N106" s="208"/>
      <c r="O106" s="801" t="s">
        <v>88</v>
      </c>
      <c r="P106" s="239" t="s">
        <v>84</v>
      </c>
      <c r="Q106" s="239" t="s">
        <v>85</v>
      </c>
      <c r="R106" s="208"/>
      <c r="S106" s="1174"/>
    </row>
    <row r="107" spans="2:19">
      <c r="B107" s="210" t="str">
        <f>IF(COUNTA(C107)=1,1,"")</f>
        <v/>
      </c>
      <c r="C107" s="802"/>
      <c r="D107" s="803"/>
      <c r="E107" s="803"/>
      <c r="F107" s="803"/>
      <c r="G107" s="803"/>
      <c r="H107" s="804"/>
      <c r="I107" s="802"/>
      <c r="J107" s="803"/>
      <c r="K107" s="803"/>
      <c r="L107" s="803"/>
      <c r="M107" s="803"/>
      <c r="N107" s="803"/>
      <c r="O107" s="805"/>
      <c r="P107" s="806"/>
      <c r="Q107" s="806"/>
      <c r="R107" s="807">
        <f>SUM(O107:Q107)</f>
        <v>0</v>
      </c>
      <c r="S107" s="1174"/>
    </row>
    <row r="108" spans="2:19">
      <c r="B108" s="210" t="str">
        <f>IF(COUNTA(C108)=1,MAX(B$107:B107)+1,"")</f>
        <v/>
      </c>
      <c r="C108" s="808"/>
      <c r="D108" s="809"/>
      <c r="E108" s="809"/>
      <c r="F108" s="809"/>
      <c r="G108" s="809"/>
      <c r="H108" s="810"/>
      <c r="I108" s="808"/>
      <c r="J108" s="809"/>
      <c r="K108" s="809"/>
      <c r="L108" s="809"/>
      <c r="M108" s="809"/>
      <c r="N108" s="809"/>
      <c r="O108" s="811"/>
      <c r="P108" s="812"/>
      <c r="Q108" s="812"/>
      <c r="R108" s="807">
        <f t="shared" ref="R108:R146" si="2">SUM(O108:Q108)</f>
        <v>0</v>
      </c>
      <c r="S108" s="1174"/>
    </row>
    <row r="109" spans="2:19">
      <c r="B109" s="210" t="str">
        <f>IF(COUNTA(C109)=1,MAX(B$107:B108)+1,"")</f>
        <v/>
      </c>
      <c r="C109" s="808"/>
      <c r="D109" s="809"/>
      <c r="E109" s="809"/>
      <c r="F109" s="809"/>
      <c r="G109" s="809"/>
      <c r="H109" s="810"/>
      <c r="I109" s="808"/>
      <c r="J109" s="809"/>
      <c r="K109" s="809"/>
      <c r="L109" s="809"/>
      <c r="M109" s="809"/>
      <c r="N109" s="809"/>
      <c r="O109" s="811"/>
      <c r="P109" s="812"/>
      <c r="Q109" s="812"/>
      <c r="R109" s="807">
        <f t="shared" si="2"/>
        <v>0</v>
      </c>
      <c r="S109" s="1174"/>
    </row>
    <row r="110" spans="2:19">
      <c r="B110" s="210" t="str">
        <f>IF(COUNTA(C110)=1,MAX(B$107:B109)+1,"")</f>
        <v/>
      </c>
      <c r="C110" s="808"/>
      <c r="D110" s="809"/>
      <c r="E110" s="809"/>
      <c r="F110" s="809"/>
      <c r="G110" s="809"/>
      <c r="H110" s="810"/>
      <c r="I110" s="808"/>
      <c r="J110" s="809"/>
      <c r="K110" s="809"/>
      <c r="L110" s="809"/>
      <c r="M110" s="809"/>
      <c r="N110" s="809"/>
      <c r="O110" s="811"/>
      <c r="P110" s="812"/>
      <c r="Q110" s="812"/>
      <c r="R110" s="807">
        <f t="shared" si="2"/>
        <v>0</v>
      </c>
      <c r="S110" s="1174"/>
    </row>
    <row r="111" spans="2:19">
      <c r="B111" s="210" t="str">
        <f>IF(COUNTA(C111)=1,MAX(B$107:B110)+1,"")</f>
        <v/>
      </c>
      <c r="C111" s="808"/>
      <c r="D111" s="809"/>
      <c r="E111" s="809"/>
      <c r="F111" s="809"/>
      <c r="G111" s="809"/>
      <c r="H111" s="810"/>
      <c r="I111" s="808"/>
      <c r="J111" s="809"/>
      <c r="K111" s="809"/>
      <c r="L111" s="809"/>
      <c r="M111" s="809"/>
      <c r="N111" s="809"/>
      <c r="O111" s="811"/>
      <c r="P111" s="812"/>
      <c r="Q111" s="812"/>
      <c r="R111" s="807">
        <f t="shared" si="2"/>
        <v>0</v>
      </c>
      <c r="S111" s="1174"/>
    </row>
    <row r="112" spans="2:19">
      <c r="B112" s="210" t="str">
        <f>IF(COUNTA(C112)=1,MAX(B$107:B111)+1,"")</f>
        <v/>
      </c>
      <c r="C112" s="808"/>
      <c r="D112" s="809"/>
      <c r="E112" s="809"/>
      <c r="F112" s="809"/>
      <c r="G112" s="809"/>
      <c r="H112" s="810"/>
      <c r="I112" s="808"/>
      <c r="J112" s="809"/>
      <c r="K112" s="809"/>
      <c r="L112" s="809"/>
      <c r="M112" s="809"/>
      <c r="N112" s="809"/>
      <c r="O112" s="811"/>
      <c r="P112" s="812"/>
      <c r="Q112" s="812"/>
      <c r="R112" s="807">
        <f t="shared" si="2"/>
        <v>0</v>
      </c>
      <c r="S112" s="1174"/>
    </row>
    <row r="113" spans="2:19">
      <c r="B113" s="210" t="str">
        <f>IF(COUNTA(C113)=1,MAX(B$107:B112)+1,"")</f>
        <v/>
      </c>
      <c r="C113" s="808"/>
      <c r="D113" s="809"/>
      <c r="E113" s="809"/>
      <c r="F113" s="809"/>
      <c r="G113" s="809"/>
      <c r="H113" s="810"/>
      <c r="I113" s="808"/>
      <c r="J113" s="809"/>
      <c r="K113" s="809"/>
      <c r="L113" s="809"/>
      <c r="M113" s="809"/>
      <c r="N113" s="809"/>
      <c r="O113" s="811"/>
      <c r="P113" s="812"/>
      <c r="Q113" s="812"/>
      <c r="R113" s="807">
        <f t="shared" si="2"/>
        <v>0</v>
      </c>
      <c r="S113" s="1174"/>
    </row>
    <row r="114" spans="2:19">
      <c r="B114" s="210" t="str">
        <f>IF(COUNTA(C114)=1,MAX(B$107:B113)+1,"")</f>
        <v/>
      </c>
      <c r="C114" s="808"/>
      <c r="D114" s="809"/>
      <c r="E114" s="809"/>
      <c r="F114" s="809"/>
      <c r="G114" s="809"/>
      <c r="H114" s="810"/>
      <c r="I114" s="808"/>
      <c r="J114" s="809"/>
      <c r="K114" s="809"/>
      <c r="L114" s="809"/>
      <c r="M114" s="809"/>
      <c r="N114" s="809"/>
      <c r="O114" s="811"/>
      <c r="P114" s="812"/>
      <c r="Q114" s="812"/>
      <c r="R114" s="807">
        <f t="shared" si="2"/>
        <v>0</v>
      </c>
      <c r="S114" s="1174"/>
    </row>
    <row r="115" spans="2:19">
      <c r="B115" s="210" t="str">
        <f>IF(COUNTA(C115)=1,MAX(B$107:B114)+1,"")</f>
        <v/>
      </c>
      <c r="C115" s="808"/>
      <c r="D115" s="809"/>
      <c r="E115" s="809"/>
      <c r="F115" s="809"/>
      <c r="G115" s="809"/>
      <c r="H115" s="810"/>
      <c r="I115" s="808"/>
      <c r="J115" s="809"/>
      <c r="K115" s="809"/>
      <c r="L115" s="809"/>
      <c r="M115" s="809"/>
      <c r="N115" s="809"/>
      <c r="O115" s="811"/>
      <c r="P115" s="812"/>
      <c r="Q115" s="812"/>
      <c r="R115" s="807">
        <f t="shared" si="2"/>
        <v>0</v>
      </c>
      <c r="S115" s="1174"/>
    </row>
    <row r="116" spans="2:19">
      <c r="B116" s="210" t="str">
        <f>IF(COUNTA(C116)=1,MAX(B$107:B115)+1,"")</f>
        <v/>
      </c>
      <c r="C116" s="808"/>
      <c r="D116" s="809"/>
      <c r="E116" s="809"/>
      <c r="F116" s="809"/>
      <c r="G116" s="809"/>
      <c r="H116" s="810"/>
      <c r="I116" s="808"/>
      <c r="J116" s="809"/>
      <c r="K116" s="809"/>
      <c r="L116" s="809"/>
      <c r="M116" s="809"/>
      <c r="N116" s="809"/>
      <c r="O116" s="811"/>
      <c r="P116" s="812"/>
      <c r="Q116" s="812"/>
      <c r="R116" s="807">
        <f t="shared" si="2"/>
        <v>0</v>
      </c>
      <c r="S116" s="1174"/>
    </row>
    <row r="117" spans="2:19">
      <c r="B117" s="210" t="str">
        <f>IF(COUNTA(C117)=1,MAX(B$107:B116)+1,"")</f>
        <v/>
      </c>
      <c r="C117" s="808"/>
      <c r="D117" s="809"/>
      <c r="E117" s="809"/>
      <c r="F117" s="809"/>
      <c r="G117" s="809"/>
      <c r="H117" s="810"/>
      <c r="I117" s="808"/>
      <c r="J117" s="809"/>
      <c r="K117" s="809"/>
      <c r="L117" s="809"/>
      <c r="M117" s="809"/>
      <c r="N117" s="809"/>
      <c r="O117" s="811">
        <v>0</v>
      </c>
      <c r="P117" s="812"/>
      <c r="Q117" s="812">
        <v>0</v>
      </c>
      <c r="R117" s="807">
        <f t="shared" si="2"/>
        <v>0</v>
      </c>
      <c r="S117" s="1174"/>
    </row>
    <row r="118" spans="2:19">
      <c r="B118" s="210" t="str">
        <f>IF(COUNTA(C118)=1,MAX(B$107:B117)+1,"")</f>
        <v/>
      </c>
      <c r="C118" s="808"/>
      <c r="D118" s="809"/>
      <c r="E118" s="809"/>
      <c r="F118" s="809"/>
      <c r="G118" s="809"/>
      <c r="H118" s="810"/>
      <c r="I118" s="808"/>
      <c r="J118" s="809"/>
      <c r="K118" s="809"/>
      <c r="L118" s="809"/>
      <c r="M118" s="809"/>
      <c r="N118" s="809"/>
      <c r="O118" s="811">
        <v>0</v>
      </c>
      <c r="P118" s="812"/>
      <c r="Q118" s="812">
        <v>0</v>
      </c>
      <c r="R118" s="807">
        <f t="shared" si="2"/>
        <v>0</v>
      </c>
      <c r="S118" s="1174"/>
    </row>
    <row r="119" spans="2:19">
      <c r="B119" s="210" t="str">
        <f>IF(COUNTA(C119)=1,MAX(B$107:B118)+1,"")</f>
        <v/>
      </c>
      <c r="C119" s="808"/>
      <c r="D119" s="809"/>
      <c r="E119" s="809"/>
      <c r="F119" s="809"/>
      <c r="G119" s="809"/>
      <c r="H119" s="810"/>
      <c r="I119" s="808"/>
      <c r="J119" s="809"/>
      <c r="K119" s="809"/>
      <c r="L119" s="809"/>
      <c r="M119" s="809"/>
      <c r="N119" s="809"/>
      <c r="O119" s="811">
        <v>0</v>
      </c>
      <c r="P119" s="812"/>
      <c r="Q119" s="812">
        <v>0</v>
      </c>
      <c r="R119" s="807">
        <f t="shared" si="2"/>
        <v>0</v>
      </c>
      <c r="S119" s="1174"/>
    </row>
    <row r="120" spans="2:19">
      <c r="B120" s="210" t="str">
        <f>IF(COUNTA(C120)=1,MAX(B$107:B119)+1,"")</f>
        <v/>
      </c>
      <c r="C120" s="808"/>
      <c r="D120" s="809"/>
      <c r="E120" s="809"/>
      <c r="F120" s="809"/>
      <c r="G120" s="809"/>
      <c r="H120" s="810"/>
      <c r="I120" s="808"/>
      <c r="J120" s="809"/>
      <c r="K120" s="809"/>
      <c r="L120" s="809"/>
      <c r="M120" s="809"/>
      <c r="N120" s="809"/>
      <c r="O120" s="811">
        <v>0</v>
      </c>
      <c r="P120" s="812"/>
      <c r="Q120" s="812">
        <v>0</v>
      </c>
      <c r="R120" s="807">
        <f t="shared" si="2"/>
        <v>0</v>
      </c>
      <c r="S120" s="1174"/>
    </row>
    <row r="121" spans="2:19">
      <c r="B121" s="210" t="str">
        <f>IF(COUNTA(C121)=1,MAX(B$107:B120)+1,"")</f>
        <v/>
      </c>
      <c r="C121" s="808"/>
      <c r="D121" s="809"/>
      <c r="E121" s="809"/>
      <c r="F121" s="809"/>
      <c r="G121" s="809"/>
      <c r="H121" s="810"/>
      <c r="I121" s="808"/>
      <c r="J121" s="809"/>
      <c r="K121" s="809"/>
      <c r="L121" s="809"/>
      <c r="M121" s="809"/>
      <c r="N121" s="809"/>
      <c r="O121" s="811">
        <v>0</v>
      </c>
      <c r="P121" s="812"/>
      <c r="Q121" s="812">
        <v>0</v>
      </c>
      <c r="R121" s="807">
        <f t="shared" si="2"/>
        <v>0</v>
      </c>
      <c r="S121" s="1174"/>
    </row>
    <row r="122" spans="2:19">
      <c r="B122" s="210" t="str">
        <f>IF(COUNTA(C122)=1,MAX(B$107:B121)+1,"")</f>
        <v/>
      </c>
      <c r="C122" s="808"/>
      <c r="D122" s="809"/>
      <c r="E122" s="809"/>
      <c r="F122" s="809"/>
      <c r="G122" s="809"/>
      <c r="H122" s="810"/>
      <c r="I122" s="808"/>
      <c r="J122" s="809"/>
      <c r="K122" s="809"/>
      <c r="L122" s="809"/>
      <c r="M122" s="809"/>
      <c r="N122" s="809"/>
      <c r="O122" s="811">
        <v>0</v>
      </c>
      <c r="P122" s="812"/>
      <c r="Q122" s="812">
        <v>0</v>
      </c>
      <c r="R122" s="807">
        <f t="shared" si="2"/>
        <v>0</v>
      </c>
      <c r="S122" s="1174"/>
    </row>
    <row r="123" spans="2:19">
      <c r="B123" s="210" t="str">
        <f>IF(COUNTA(C123)=1,MAX(B$107:B122)+1,"")</f>
        <v/>
      </c>
      <c r="C123" s="808"/>
      <c r="D123" s="809"/>
      <c r="E123" s="809"/>
      <c r="F123" s="809"/>
      <c r="G123" s="809"/>
      <c r="H123" s="810"/>
      <c r="I123" s="808"/>
      <c r="J123" s="809"/>
      <c r="K123" s="809"/>
      <c r="L123" s="809"/>
      <c r="M123" s="809"/>
      <c r="N123" s="809"/>
      <c r="O123" s="811">
        <v>0</v>
      </c>
      <c r="P123" s="812"/>
      <c r="Q123" s="812">
        <v>0</v>
      </c>
      <c r="R123" s="807">
        <f t="shared" si="2"/>
        <v>0</v>
      </c>
      <c r="S123" s="1174"/>
    </row>
    <row r="124" spans="2:19">
      <c r="B124" s="210" t="str">
        <f>IF(COUNTA(C124)=1,MAX(B$107:B123)+1,"")</f>
        <v/>
      </c>
      <c r="C124" s="808"/>
      <c r="D124" s="809"/>
      <c r="E124" s="809"/>
      <c r="F124" s="809"/>
      <c r="G124" s="809"/>
      <c r="H124" s="810"/>
      <c r="I124" s="808"/>
      <c r="J124" s="809"/>
      <c r="K124" s="809"/>
      <c r="L124" s="809"/>
      <c r="M124" s="809"/>
      <c r="N124" s="809"/>
      <c r="O124" s="811">
        <v>0</v>
      </c>
      <c r="P124" s="812"/>
      <c r="Q124" s="812">
        <v>0</v>
      </c>
      <c r="R124" s="807">
        <f t="shared" si="2"/>
        <v>0</v>
      </c>
      <c r="S124" s="1174"/>
    </row>
    <row r="125" spans="2:19">
      <c r="B125" s="210" t="str">
        <f>IF(COUNTA(C125)=1,MAX(B$107:B124)+1,"")</f>
        <v/>
      </c>
      <c r="C125" s="808"/>
      <c r="D125" s="809"/>
      <c r="E125" s="809"/>
      <c r="F125" s="809"/>
      <c r="G125" s="809"/>
      <c r="H125" s="810"/>
      <c r="I125" s="808"/>
      <c r="J125" s="809"/>
      <c r="K125" s="809"/>
      <c r="L125" s="809"/>
      <c r="M125" s="809"/>
      <c r="N125" s="809"/>
      <c r="O125" s="811">
        <v>0</v>
      </c>
      <c r="P125" s="812"/>
      <c r="Q125" s="812">
        <v>0</v>
      </c>
      <c r="R125" s="807">
        <f t="shared" si="2"/>
        <v>0</v>
      </c>
      <c r="S125" s="1174"/>
    </row>
    <row r="126" spans="2:19">
      <c r="B126" s="210" t="str">
        <f>IF(COUNTA(C126)=1,MAX(B$107:B125)+1,"")</f>
        <v/>
      </c>
      <c r="C126" s="808"/>
      <c r="D126" s="809"/>
      <c r="E126" s="809"/>
      <c r="F126" s="809"/>
      <c r="G126" s="809"/>
      <c r="H126" s="810"/>
      <c r="I126" s="808"/>
      <c r="J126" s="809"/>
      <c r="K126" s="809"/>
      <c r="L126" s="809"/>
      <c r="M126" s="809"/>
      <c r="N126" s="809"/>
      <c r="O126" s="811">
        <v>0</v>
      </c>
      <c r="P126" s="812"/>
      <c r="Q126" s="812">
        <v>0</v>
      </c>
      <c r="R126" s="807">
        <f t="shared" si="2"/>
        <v>0</v>
      </c>
      <c r="S126" s="1174"/>
    </row>
    <row r="127" spans="2:19">
      <c r="B127" s="210" t="str">
        <f>IF(COUNTA(C127)=1,MAX(B$107:B126)+1,"")</f>
        <v/>
      </c>
      <c r="C127" s="808"/>
      <c r="D127" s="809"/>
      <c r="E127" s="809"/>
      <c r="F127" s="809"/>
      <c r="G127" s="809"/>
      <c r="H127" s="810"/>
      <c r="I127" s="808"/>
      <c r="J127" s="809"/>
      <c r="K127" s="809"/>
      <c r="L127" s="809"/>
      <c r="M127" s="809"/>
      <c r="N127" s="809"/>
      <c r="O127" s="811">
        <v>0</v>
      </c>
      <c r="P127" s="812"/>
      <c r="Q127" s="812">
        <v>0</v>
      </c>
      <c r="R127" s="807">
        <f t="shared" si="2"/>
        <v>0</v>
      </c>
      <c r="S127" s="1174"/>
    </row>
    <row r="128" spans="2:19">
      <c r="B128" s="210" t="str">
        <f>IF(COUNTA(C128)=1,MAX(B$107:B127)+1,"")</f>
        <v/>
      </c>
      <c r="C128" s="808"/>
      <c r="D128" s="809"/>
      <c r="E128" s="809"/>
      <c r="F128" s="809"/>
      <c r="G128" s="809"/>
      <c r="H128" s="810"/>
      <c r="I128" s="808"/>
      <c r="J128" s="809"/>
      <c r="K128" s="809"/>
      <c r="L128" s="809"/>
      <c r="M128" s="809"/>
      <c r="N128" s="809"/>
      <c r="O128" s="811">
        <v>0</v>
      </c>
      <c r="P128" s="812"/>
      <c r="Q128" s="812">
        <v>0</v>
      </c>
      <c r="R128" s="807">
        <f t="shared" si="2"/>
        <v>0</v>
      </c>
      <c r="S128" s="1174"/>
    </row>
    <row r="129" spans="2:19">
      <c r="B129" s="210" t="str">
        <f>IF(COUNTA(C129)=1,MAX(B$107:B128)+1,"")</f>
        <v/>
      </c>
      <c r="C129" s="808"/>
      <c r="D129" s="809"/>
      <c r="E129" s="809"/>
      <c r="F129" s="809"/>
      <c r="G129" s="809"/>
      <c r="H129" s="810"/>
      <c r="I129" s="808"/>
      <c r="J129" s="809"/>
      <c r="K129" s="809"/>
      <c r="L129" s="809"/>
      <c r="M129" s="809"/>
      <c r="N129" s="809"/>
      <c r="O129" s="811">
        <v>0</v>
      </c>
      <c r="P129" s="812"/>
      <c r="Q129" s="812">
        <v>0</v>
      </c>
      <c r="R129" s="807">
        <f t="shared" si="2"/>
        <v>0</v>
      </c>
      <c r="S129" s="1174"/>
    </row>
    <row r="130" spans="2:19">
      <c r="B130" s="210" t="str">
        <f>IF(COUNTA(C130)=1,MAX(B$107:B129)+1,"")</f>
        <v/>
      </c>
      <c r="C130" s="808"/>
      <c r="D130" s="809"/>
      <c r="E130" s="809"/>
      <c r="F130" s="809"/>
      <c r="G130" s="809"/>
      <c r="H130" s="810"/>
      <c r="I130" s="808"/>
      <c r="J130" s="809"/>
      <c r="K130" s="809"/>
      <c r="L130" s="809"/>
      <c r="M130" s="809"/>
      <c r="N130" s="809"/>
      <c r="O130" s="811">
        <v>0</v>
      </c>
      <c r="P130" s="812"/>
      <c r="Q130" s="812">
        <v>0</v>
      </c>
      <c r="R130" s="807">
        <f t="shared" si="2"/>
        <v>0</v>
      </c>
      <c r="S130" s="1174"/>
    </row>
    <row r="131" spans="2:19">
      <c r="B131" s="210" t="str">
        <f>IF(COUNTA(C131)=1,MAX(B$107:B130)+1,"")</f>
        <v/>
      </c>
      <c r="C131" s="808"/>
      <c r="D131" s="809"/>
      <c r="E131" s="809"/>
      <c r="F131" s="809"/>
      <c r="G131" s="809"/>
      <c r="H131" s="810"/>
      <c r="I131" s="808"/>
      <c r="J131" s="809"/>
      <c r="K131" s="809"/>
      <c r="L131" s="809"/>
      <c r="M131" s="809"/>
      <c r="N131" s="809"/>
      <c r="O131" s="811">
        <v>0</v>
      </c>
      <c r="P131" s="812"/>
      <c r="Q131" s="812">
        <v>0</v>
      </c>
      <c r="R131" s="807">
        <f t="shared" si="2"/>
        <v>0</v>
      </c>
      <c r="S131" s="1174"/>
    </row>
    <row r="132" spans="2:19">
      <c r="B132" s="210" t="str">
        <f>IF(COUNTA(C132)=1,MAX(B$107:B131)+1,"")</f>
        <v/>
      </c>
      <c r="C132" s="808"/>
      <c r="D132" s="809"/>
      <c r="E132" s="809"/>
      <c r="F132" s="809"/>
      <c r="G132" s="809"/>
      <c r="H132" s="810"/>
      <c r="I132" s="808"/>
      <c r="J132" s="809"/>
      <c r="K132" s="809"/>
      <c r="L132" s="809"/>
      <c r="M132" s="809"/>
      <c r="N132" s="809"/>
      <c r="O132" s="811">
        <v>0</v>
      </c>
      <c r="P132" s="812"/>
      <c r="Q132" s="812">
        <v>0</v>
      </c>
      <c r="R132" s="807">
        <f t="shared" si="2"/>
        <v>0</v>
      </c>
      <c r="S132" s="1174"/>
    </row>
    <row r="133" spans="2:19">
      <c r="B133" s="210" t="str">
        <f>IF(COUNTA(C133)=1,MAX(B$107:B132)+1,"")</f>
        <v/>
      </c>
      <c r="C133" s="808"/>
      <c r="D133" s="809"/>
      <c r="E133" s="809"/>
      <c r="F133" s="809"/>
      <c r="G133" s="809"/>
      <c r="H133" s="810"/>
      <c r="I133" s="808"/>
      <c r="J133" s="809"/>
      <c r="K133" s="809"/>
      <c r="L133" s="809"/>
      <c r="M133" s="809"/>
      <c r="N133" s="809"/>
      <c r="O133" s="811">
        <v>0</v>
      </c>
      <c r="P133" s="812"/>
      <c r="Q133" s="812">
        <v>0</v>
      </c>
      <c r="R133" s="807">
        <f t="shared" si="2"/>
        <v>0</v>
      </c>
      <c r="S133" s="1174"/>
    </row>
    <row r="134" spans="2:19">
      <c r="B134" s="210" t="str">
        <f>IF(COUNTA(C134)=1,MAX(B$107:B133)+1,"")</f>
        <v/>
      </c>
      <c r="C134" s="808"/>
      <c r="D134" s="809"/>
      <c r="E134" s="809"/>
      <c r="F134" s="809"/>
      <c r="G134" s="809"/>
      <c r="H134" s="810"/>
      <c r="I134" s="808"/>
      <c r="J134" s="809"/>
      <c r="K134" s="809"/>
      <c r="L134" s="809"/>
      <c r="M134" s="809"/>
      <c r="N134" s="809"/>
      <c r="O134" s="811">
        <v>0</v>
      </c>
      <c r="P134" s="812"/>
      <c r="Q134" s="812">
        <v>0</v>
      </c>
      <c r="R134" s="807">
        <f t="shared" si="2"/>
        <v>0</v>
      </c>
      <c r="S134" s="1174"/>
    </row>
    <row r="135" spans="2:19">
      <c r="B135" s="210" t="str">
        <f>IF(COUNTA(C135)=1,MAX(B$107:B134)+1,"")</f>
        <v/>
      </c>
      <c r="C135" s="808"/>
      <c r="D135" s="809"/>
      <c r="E135" s="809"/>
      <c r="F135" s="809"/>
      <c r="G135" s="809"/>
      <c r="H135" s="810"/>
      <c r="I135" s="808"/>
      <c r="J135" s="809"/>
      <c r="K135" s="809"/>
      <c r="L135" s="809"/>
      <c r="M135" s="809"/>
      <c r="N135" s="809"/>
      <c r="O135" s="811">
        <v>0</v>
      </c>
      <c r="P135" s="812"/>
      <c r="Q135" s="812">
        <v>0</v>
      </c>
      <c r="R135" s="807">
        <f t="shared" si="2"/>
        <v>0</v>
      </c>
      <c r="S135" s="1174"/>
    </row>
    <row r="136" spans="2:19">
      <c r="B136" s="210" t="str">
        <f>IF(COUNTA(C136)=1,MAX(B$107:B135)+1,"")</f>
        <v/>
      </c>
      <c r="C136" s="808"/>
      <c r="D136" s="809"/>
      <c r="E136" s="809"/>
      <c r="F136" s="809"/>
      <c r="G136" s="809"/>
      <c r="H136" s="810"/>
      <c r="I136" s="808"/>
      <c r="J136" s="809"/>
      <c r="K136" s="809"/>
      <c r="L136" s="809"/>
      <c r="M136" s="809"/>
      <c r="N136" s="809"/>
      <c r="O136" s="811">
        <v>0</v>
      </c>
      <c r="P136" s="812"/>
      <c r="Q136" s="812">
        <v>0</v>
      </c>
      <c r="R136" s="807">
        <f t="shared" si="2"/>
        <v>0</v>
      </c>
      <c r="S136" s="1174"/>
    </row>
    <row r="137" spans="2:19">
      <c r="B137" s="210" t="str">
        <f>IF(COUNTA(C137)=1,MAX(B$107:B136)+1,"")</f>
        <v/>
      </c>
      <c r="C137" s="808"/>
      <c r="D137" s="809"/>
      <c r="E137" s="809"/>
      <c r="F137" s="809"/>
      <c r="G137" s="809"/>
      <c r="H137" s="810"/>
      <c r="I137" s="808"/>
      <c r="J137" s="809"/>
      <c r="K137" s="809"/>
      <c r="L137" s="809"/>
      <c r="M137" s="809"/>
      <c r="N137" s="809"/>
      <c r="O137" s="811">
        <v>0</v>
      </c>
      <c r="P137" s="812"/>
      <c r="Q137" s="812">
        <v>0</v>
      </c>
      <c r="R137" s="807">
        <f t="shared" si="2"/>
        <v>0</v>
      </c>
      <c r="S137" s="1174"/>
    </row>
    <row r="138" spans="2:19">
      <c r="B138" s="210" t="str">
        <f>IF(COUNTA(C138)=1,MAX(B$107:B137)+1,"")</f>
        <v/>
      </c>
      <c r="C138" s="808"/>
      <c r="D138" s="809"/>
      <c r="E138" s="809"/>
      <c r="F138" s="809"/>
      <c r="G138" s="809"/>
      <c r="H138" s="810"/>
      <c r="I138" s="808"/>
      <c r="J138" s="809"/>
      <c r="K138" s="809"/>
      <c r="L138" s="809"/>
      <c r="M138" s="809"/>
      <c r="N138" s="809"/>
      <c r="O138" s="811">
        <v>0</v>
      </c>
      <c r="P138" s="812"/>
      <c r="Q138" s="812">
        <v>0</v>
      </c>
      <c r="R138" s="807">
        <f t="shared" si="2"/>
        <v>0</v>
      </c>
      <c r="S138" s="1174"/>
    </row>
    <row r="139" spans="2:19">
      <c r="B139" s="210" t="str">
        <f>IF(COUNTA(C139)=1,MAX(B$107:B138)+1,"")</f>
        <v/>
      </c>
      <c r="C139" s="808"/>
      <c r="D139" s="809"/>
      <c r="E139" s="809"/>
      <c r="F139" s="809"/>
      <c r="G139" s="809"/>
      <c r="H139" s="810"/>
      <c r="I139" s="808"/>
      <c r="J139" s="809"/>
      <c r="K139" s="809"/>
      <c r="L139" s="809"/>
      <c r="M139" s="809"/>
      <c r="N139" s="809"/>
      <c r="O139" s="811">
        <v>0</v>
      </c>
      <c r="P139" s="812"/>
      <c r="Q139" s="812">
        <v>0</v>
      </c>
      <c r="R139" s="807">
        <f t="shared" si="2"/>
        <v>0</v>
      </c>
      <c r="S139" s="1174"/>
    </row>
    <row r="140" spans="2:19">
      <c r="B140" s="210" t="str">
        <f>IF(COUNTA(C140)=1,MAX(B$107:B139)+1,"")</f>
        <v/>
      </c>
      <c r="C140" s="808"/>
      <c r="D140" s="809"/>
      <c r="E140" s="809"/>
      <c r="F140" s="809"/>
      <c r="G140" s="809"/>
      <c r="H140" s="810"/>
      <c r="I140" s="808"/>
      <c r="J140" s="809"/>
      <c r="K140" s="809"/>
      <c r="L140" s="809"/>
      <c r="M140" s="809"/>
      <c r="N140" s="809"/>
      <c r="O140" s="811">
        <v>0</v>
      </c>
      <c r="P140" s="812"/>
      <c r="Q140" s="812">
        <v>0</v>
      </c>
      <c r="R140" s="807">
        <f t="shared" si="2"/>
        <v>0</v>
      </c>
      <c r="S140" s="1174"/>
    </row>
    <row r="141" spans="2:19">
      <c r="B141" s="210" t="str">
        <f>IF(COUNTA(C141)=1,MAX(B$107:B140)+1,"")</f>
        <v/>
      </c>
      <c r="C141" s="808"/>
      <c r="D141" s="809"/>
      <c r="E141" s="809"/>
      <c r="F141" s="809"/>
      <c r="G141" s="809"/>
      <c r="H141" s="810"/>
      <c r="I141" s="808"/>
      <c r="J141" s="809"/>
      <c r="K141" s="809"/>
      <c r="L141" s="809"/>
      <c r="M141" s="809"/>
      <c r="N141" s="809"/>
      <c r="O141" s="811">
        <v>0</v>
      </c>
      <c r="P141" s="812"/>
      <c r="Q141" s="812">
        <v>0</v>
      </c>
      <c r="R141" s="807">
        <f t="shared" si="2"/>
        <v>0</v>
      </c>
      <c r="S141" s="1174"/>
    </row>
    <row r="142" spans="2:19">
      <c r="B142" s="210" t="str">
        <f>IF(COUNTA(C142)=1,MAX(B$107:B141)+1,"")</f>
        <v/>
      </c>
      <c r="C142" s="808"/>
      <c r="D142" s="809"/>
      <c r="E142" s="809"/>
      <c r="F142" s="809"/>
      <c r="G142" s="809"/>
      <c r="H142" s="810"/>
      <c r="I142" s="808"/>
      <c r="J142" s="809"/>
      <c r="K142" s="809"/>
      <c r="L142" s="809"/>
      <c r="M142" s="809"/>
      <c r="N142" s="809"/>
      <c r="O142" s="811">
        <v>0</v>
      </c>
      <c r="P142" s="812"/>
      <c r="Q142" s="812">
        <v>0</v>
      </c>
      <c r="R142" s="807">
        <f t="shared" si="2"/>
        <v>0</v>
      </c>
      <c r="S142" s="1174"/>
    </row>
    <row r="143" spans="2:19">
      <c r="B143" s="210" t="str">
        <f>IF(COUNTA(C143)=1,MAX(B$107:B142)+1,"")</f>
        <v/>
      </c>
      <c r="C143" s="808"/>
      <c r="D143" s="809"/>
      <c r="E143" s="809"/>
      <c r="F143" s="809"/>
      <c r="G143" s="809"/>
      <c r="H143" s="810"/>
      <c r="I143" s="808"/>
      <c r="J143" s="809"/>
      <c r="K143" s="809"/>
      <c r="L143" s="809"/>
      <c r="M143" s="809"/>
      <c r="N143" s="809"/>
      <c r="O143" s="811">
        <v>0</v>
      </c>
      <c r="P143" s="812"/>
      <c r="Q143" s="812">
        <v>0</v>
      </c>
      <c r="R143" s="807">
        <f t="shared" si="2"/>
        <v>0</v>
      </c>
      <c r="S143" s="1174"/>
    </row>
    <row r="144" spans="2:19">
      <c r="B144" s="210" t="str">
        <f>IF(COUNTA(C144)=1,MAX(B$107:B143)+1,"")</f>
        <v/>
      </c>
      <c r="C144" s="808"/>
      <c r="D144" s="809"/>
      <c r="E144" s="809"/>
      <c r="F144" s="809"/>
      <c r="G144" s="809"/>
      <c r="H144" s="810"/>
      <c r="I144" s="808"/>
      <c r="J144" s="809"/>
      <c r="K144" s="809"/>
      <c r="L144" s="809"/>
      <c r="M144" s="809"/>
      <c r="N144" s="809"/>
      <c r="O144" s="811">
        <v>0</v>
      </c>
      <c r="P144" s="812"/>
      <c r="Q144" s="812">
        <v>0</v>
      </c>
      <c r="R144" s="807">
        <f t="shared" si="2"/>
        <v>0</v>
      </c>
      <c r="S144" s="1174"/>
    </row>
    <row r="145" spans="2:19">
      <c r="B145" s="210" t="str">
        <f>IF(COUNTA(C145)=1,MAX(B$107:B144)+1,"")</f>
        <v/>
      </c>
      <c r="C145" s="808"/>
      <c r="D145" s="809"/>
      <c r="E145" s="809"/>
      <c r="F145" s="809"/>
      <c r="G145" s="809"/>
      <c r="H145" s="810"/>
      <c r="I145" s="808"/>
      <c r="J145" s="809"/>
      <c r="K145" s="809"/>
      <c r="L145" s="809"/>
      <c r="M145" s="809"/>
      <c r="N145" s="809"/>
      <c r="O145" s="811">
        <v>0</v>
      </c>
      <c r="P145" s="812"/>
      <c r="Q145" s="812">
        <v>0</v>
      </c>
      <c r="R145" s="807">
        <f t="shared" si="2"/>
        <v>0</v>
      </c>
      <c r="S145" s="1174"/>
    </row>
    <row r="146" spans="2:19">
      <c r="B146" s="210" t="str">
        <f>IF(COUNTA(C146)=1,MAX(B$107:B145)+1,"")</f>
        <v/>
      </c>
      <c r="C146" s="808"/>
      <c r="D146" s="809"/>
      <c r="E146" s="809"/>
      <c r="F146" s="809"/>
      <c r="G146" s="809"/>
      <c r="H146" s="810"/>
      <c r="I146" s="808"/>
      <c r="J146" s="809"/>
      <c r="K146" s="809"/>
      <c r="L146" s="809"/>
      <c r="M146" s="809"/>
      <c r="N146" s="809"/>
      <c r="O146" s="811">
        <v>0</v>
      </c>
      <c r="P146" s="812"/>
      <c r="Q146" s="812">
        <v>0</v>
      </c>
      <c r="R146" s="807">
        <f t="shared" si="2"/>
        <v>0</v>
      </c>
      <c r="S146" s="1174"/>
    </row>
    <row r="147" spans="2:19">
      <c r="B147" s="210" t="str">
        <f>IF(COUNTA(C147)=1,MAX(B$107:B146)+1,"")</f>
        <v/>
      </c>
      <c r="C147" s="808"/>
      <c r="D147" s="809"/>
      <c r="E147" s="809"/>
      <c r="F147" s="809"/>
      <c r="G147" s="809"/>
      <c r="H147" s="810"/>
      <c r="I147" s="808"/>
      <c r="J147" s="809"/>
      <c r="K147" s="809"/>
      <c r="L147" s="809"/>
      <c r="M147" s="809"/>
      <c r="N147" s="809"/>
      <c r="O147" s="811">
        <v>0</v>
      </c>
      <c r="P147" s="812"/>
      <c r="Q147" s="812">
        <v>0</v>
      </c>
      <c r="R147" s="807">
        <f t="shared" ref="R147:R155" si="3">SUM(O147:Q147)</f>
        <v>0</v>
      </c>
      <c r="S147" s="1174"/>
    </row>
    <row r="148" spans="2:19">
      <c r="B148" s="210" t="str">
        <f>IF(COUNTA(C148)=1,MAX(B$107:B147)+1,"")</f>
        <v/>
      </c>
      <c r="C148" s="808"/>
      <c r="D148" s="809"/>
      <c r="E148" s="809"/>
      <c r="F148" s="809"/>
      <c r="G148" s="809"/>
      <c r="H148" s="810"/>
      <c r="I148" s="808"/>
      <c r="J148" s="809"/>
      <c r="K148" s="809"/>
      <c r="L148" s="809"/>
      <c r="M148" s="809"/>
      <c r="N148" s="809"/>
      <c r="O148" s="811">
        <v>0</v>
      </c>
      <c r="P148" s="812"/>
      <c r="Q148" s="812">
        <v>0</v>
      </c>
      <c r="R148" s="807">
        <f t="shared" si="3"/>
        <v>0</v>
      </c>
      <c r="S148" s="1174"/>
    </row>
    <row r="149" spans="2:19">
      <c r="B149" s="210" t="str">
        <f>IF(COUNTA(C149)=1,MAX(B$107:B148)+1,"")</f>
        <v/>
      </c>
      <c r="C149" s="808"/>
      <c r="D149" s="809"/>
      <c r="E149" s="809"/>
      <c r="F149" s="809"/>
      <c r="G149" s="809"/>
      <c r="H149" s="810"/>
      <c r="I149" s="808"/>
      <c r="J149" s="809"/>
      <c r="K149" s="809"/>
      <c r="L149" s="809"/>
      <c r="M149" s="809"/>
      <c r="N149" s="809"/>
      <c r="O149" s="811">
        <v>0</v>
      </c>
      <c r="P149" s="812"/>
      <c r="Q149" s="812">
        <v>0</v>
      </c>
      <c r="R149" s="807">
        <f t="shared" si="3"/>
        <v>0</v>
      </c>
      <c r="S149" s="1174"/>
    </row>
    <row r="150" spans="2:19">
      <c r="B150" s="210" t="str">
        <f>IF(COUNTA(C150)=1,MAX(B$107:B149)+1,"")</f>
        <v/>
      </c>
      <c r="C150" s="808"/>
      <c r="D150" s="809"/>
      <c r="E150" s="809"/>
      <c r="F150" s="809"/>
      <c r="G150" s="809"/>
      <c r="H150" s="810"/>
      <c r="I150" s="808"/>
      <c r="J150" s="809"/>
      <c r="K150" s="809"/>
      <c r="L150" s="809"/>
      <c r="M150" s="809"/>
      <c r="N150" s="809"/>
      <c r="O150" s="811">
        <v>0</v>
      </c>
      <c r="P150" s="812"/>
      <c r="Q150" s="812">
        <v>0</v>
      </c>
      <c r="R150" s="807">
        <f t="shared" si="3"/>
        <v>0</v>
      </c>
      <c r="S150" s="1174"/>
    </row>
    <row r="151" spans="2:19">
      <c r="B151" s="210" t="str">
        <f>IF(COUNTA(C151)=1,MAX(B$107:B150)+1,"")</f>
        <v/>
      </c>
      <c r="C151" s="808"/>
      <c r="D151" s="809"/>
      <c r="E151" s="809"/>
      <c r="F151" s="809"/>
      <c r="G151" s="809"/>
      <c r="H151" s="810"/>
      <c r="I151" s="808"/>
      <c r="J151" s="809"/>
      <c r="K151" s="809"/>
      <c r="L151" s="809"/>
      <c r="M151" s="809"/>
      <c r="N151" s="809"/>
      <c r="O151" s="811">
        <v>0</v>
      </c>
      <c r="P151" s="812"/>
      <c r="Q151" s="812">
        <v>0</v>
      </c>
      <c r="R151" s="807">
        <f t="shared" si="3"/>
        <v>0</v>
      </c>
      <c r="S151" s="1174"/>
    </row>
    <row r="152" spans="2:19">
      <c r="B152" s="210" t="str">
        <f>IF(COUNTA(C152)=1,MAX(B$107:B151)+1,"")</f>
        <v/>
      </c>
      <c r="C152" s="808"/>
      <c r="D152" s="809"/>
      <c r="E152" s="809"/>
      <c r="F152" s="809"/>
      <c r="G152" s="809"/>
      <c r="H152" s="810"/>
      <c r="I152" s="808"/>
      <c r="J152" s="809"/>
      <c r="K152" s="809"/>
      <c r="L152" s="809"/>
      <c r="M152" s="809"/>
      <c r="N152" s="809"/>
      <c r="O152" s="811">
        <v>0</v>
      </c>
      <c r="P152" s="812"/>
      <c r="Q152" s="812">
        <v>0</v>
      </c>
      <c r="R152" s="807">
        <f t="shared" si="3"/>
        <v>0</v>
      </c>
      <c r="S152" s="1174"/>
    </row>
    <row r="153" spans="2:19">
      <c r="B153" s="210" t="str">
        <f>IF(COUNTA(C153)=1,MAX(B$107:B152)+1,"")</f>
        <v/>
      </c>
      <c r="C153" s="808"/>
      <c r="D153" s="809"/>
      <c r="E153" s="809"/>
      <c r="F153" s="809"/>
      <c r="G153" s="809"/>
      <c r="H153" s="810"/>
      <c r="I153" s="808"/>
      <c r="J153" s="809"/>
      <c r="K153" s="809"/>
      <c r="L153" s="809"/>
      <c r="M153" s="809"/>
      <c r="N153" s="809"/>
      <c r="O153" s="811">
        <v>0</v>
      </c>
      <c r="P153" s="812"/>
      <c r="Q153" s="812">
        <v>0</v>
      </c>
      <c r="R153" s="807">
        <f t="shared" si="3"/>
        <v>0</v>
      </c>
      <c r="S153" s="1174"/>
    </row>
    <row r="154" spans="2:19">
      <c r="B154" s="210" t="str">
        <f>IF(COUNTA(C154)=1,MAX(B$107:B153)+1,"")</f>
        <v/>
      </c>
      <c r="C154" s="808"/>
      <c r="D154" s="809"/>
      <c r="E154" s="809"/>
      <c r="F154" s="809"/>
      <c r="G154" s="809"/>
      <c r="H154" s="810"/>
      <c r="I154" s="808"/>
      <c r="J154" s="809"/>
      <c r="K154" s="809"/>
      <c r="L154" s="809"/>
      <c r="M154" s="809"/>
      <c r="N154" s="809"/>
      <c r="O154" s="811">
        <v>0</v>
      </c>
      <c r="P154" s="812"/>
      <c r="Q154" s="812">
        <v>0</v>
      </c>
      <c r="R154" s="807">
        <f t="shared" si="3"/>
        <v>0</v>
      </c>
      <c r="S154" s="1174"/>
    </row>
    <row r="155" spans="2:19">
      <c r="B155" s="210" t="str">
        <f>IF(COUNTA(C155)=1,MAX(B$107:B154)+1,"")</f>
        <v/>
      </c>
      <c r="C155" s="808"/>
      <c r="D155" s="809"/>
      <c r="E155" s="809"/>
      <c r="F155" s="809"/>
      <c r="G155" s="809"/>
      <c r="H155" s="810"/>
      <c r="I155" s="808"/>
      <c r="J155" s="809"/>
      <c r="K155" s="809"/>
      <c r="L155" s="809"/>
      <c r="M155" s="809"/>
      <c r="N155" s="809"/>
      <c r="O155" s="811">
        <v>0</v>
      </c>
      <c r="P155" s="812"/>
      <c r="Q155" s="812">
        <v>0</v>
      </c>
      <c r="R155" s="807">
        <f t="shared" si="3"/>
        <v>0</v>
      </c>
      <c r="S155" s="1174"/>
    </row>
    <row r="156" spans="2:19">
      <c r="B156" s="210" t="str">
        <f>IF(COUNTA(C156)=1,MAX(B$107:B155)+1,"")</f>
        <v/>
      </c>
      <c r="C156" s="808"/>
      <c r="D156" s="809"/>
      <c r="E156" s="809"/>
      <c r="F156" s="809"/>
      <c r="G156" s="809"/>
      <c r="H156" s="810"/>
      <c r="I156" s="808"/>
      <c r="J156" s="809"/>
      <c r="K156" s="809"/>
      <c r="L156" s="809"/>
      <c r="M156" s="809"/>
      <c r="N156" s="809"/>
      <c r="O156" s="811">
        <v>0</v>
      </c>
      <c r="P156" s="812"/>
      <c r="Q156" s="812">
        <v>0</v>
      </c>
      <c r="R156" s="807">
        <f t="shared" ref="R156" si="4">SUM(O156:Q156)</f>
        <v>0</v>
      </c>
      <c r="S156" s="1174"/>
    </row>
  </sheetData>
  <sheetProtection algorithmName="SHA-512" hashValue="nk8qTgXby5l3YyWsLD09y4xrrTKuyDBDTrjgZMimsAl1LE9oZYGIPH3DvEpT3SuKe+rXb1EOAvzu62Aw8ytlug==" saltValue="/FvhiBCIRX+L8xF6IcY/9w==" spinCount="100000" sheet="1" selectLockedCells="1"/>
  <mergeCells count="11">
    <mergeCell ref="Q1:Q2"/>
    <mergeCell ref="L1:L2"/>
    <mergeCell ref="M1:M2"/>
    <mergeCell ref="N1:N2"/>
    <mergeCell ref="O1:O2"/>
    <mergeCell ref="P1:P2"/>
    <mergeCell ref="D27:E27"/>
    <mergeCell ref="D28:E28"/>
    <mergeCell ref="P103:Q103"/>
    <mergeCell ref="P105:Q105"/>
    <mergeCell ref="J30:O30"/>
  </mergeCells>
  <conditionalFormatting sqref="E21">
    <cfRule type="cellIs" dxfId="98" priority="7" stopIfTrue="1" operator="equal">
      <formula>1</formula>
    </cfRule>
  </conditionalFormatting>
  <conditionalFormatting sqref="E86">
    <cfRule type="cellIs" dxfId="97" priority="13" stopIfTrue="1" operator="equal">
      <formula>1</formula>
    </cfRule>
  </conditionalFormatting>
  <conditionalFormatting sqref="N6">
    <cfRule type="cellIs" dxfId="96" priority="6" operator="equal">
      <formula>1</formula>
    </cfRule>
  </conditionalFormatting>
  <conditionalFormatting sqref="N18">
    <cfRule type="cellIs" dxfId="95" priority="4" operator="equal">
      <formula>1</formula>
    </cfRule>
  </conditionalFormatting>
  <conditionalFormatting sqref="N22:N23">
    <cfRule type="cellIs" dxfId="94" priority="26" stopIfTrue="1" operator="equal">
      <formula>0</formula>
    </cfRule>
  </conditionalFormatting>
  <conditionalFormatting sqref="O10">
    <cfRule type="cellIs" dxfId="93" priority="1" operator="equal">
      <formula>1</formula>
    </cfRule>
  </conditionalFormatting>
  <conditionalFormatting sqref="O18 N19:O20">
    <cfRule type="cellIs" dxfId="92" priority="18" stopIfTrue="1" operator="equal">
      <formula>0</formula>
    </cfRule>
  </conditionalFormatting>
  <conditionalFormatting sqref="R107:R156">
    <cfRule type="cellIs" dxfId="91" priority="2" operator="notEqual">
      <formula>1</formula>
    </cfRule>
    <cfRule type="cellIs" dxfId="90" priority="3" operator="equal">
      <formula>1</formula>
    </cfRule>
  </conditionalFormatting>
  <conditionalFormatting sqref="S65">
    <cfRule type="cellIs" dxfId="89" priority="24" operator="equal">
      <formula>1</formula>
    </cfRule>
    <cfRule type="cellIs" dxfId="88" priority="25" operator="notEqual">
      <formula>1</formula>
    </cfRule>
  </conditionalFormatting>
  <dataValidations count="5">
    <dataValidation type="decimal" errorStyle="information" operator="lessThanOrEqual" allowBlank="1" showInputMessage="1" showErrorMessage="1" error="Bitte nur Werte bis max. 15% verwenden." prompt="Bitte nur Werte bis max. 15% verwenden." sqref="E84" xr:uid="{40DA3331-1378-4138-A6CB-D704357DF875}">
      <formula1>0.15</formula1>
    </dataValidation>
    <dataValidation type="list" allowBlank="1" showInputMessage="1" showErrorMessage="1" sqref="Q25:Q29" xr:uid="{FAC513D8-19C4-4D13-8599-F1B79A2AC987}">
      <formula1>$H$33:$O$33</formula1>
    </dataValidation>
    <dataValidation type="list" allowBlank="1" sqref="E86 E21" xr:uid="{30E611E3-9BFE-436A-934C-680058E3C5A6}">
      <formula1>"ja, nein"</formula1>
    </dataValidation>
    <dataValidation allowBlank="1" showInputMessage="1" showErrorMessage="1" prompt="Für die weitere Berechnung werden nur Werte bis max. 100% übernommen." sqref="S89" xr:uid="{C023FD76-0AC6-4B13-BF48-8CF84451FE18}"/>
    <dataValidation type="list" allowBlank="1" showInputMessage="1" showErrorMessage="1" sqref="O107:Q156" xr:uid="{4FDADF89-7B1C-49F5-941E-341A62A89719}">
      <formula1>"0%,50%,100%"</formula1>
    </dataValidation>
  </dataValidations>
  <pageMargins left="0.59055118110236227" right="0.59055118110236227" top="0.78740157480314965" bottom="0.59055118110236227" header="0.51181102362204722" footer="0.27559055118110237"/>
  <pageSetup paperSize="9" scale="79" orientation="portrait" r:id="rId1"/>
  <headerFooter alignWithMargins="0">
    <oddFooter>&amp;C&amp;8Seite &amp;P von &amp;N</oddFooter>
  </headerFooter>
  <rowBreaks count="1" manualBreakCount="1">
    <brk id="51" max="1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FE99A-CF82-46C5-9C1E-36C73A2CA547}">
  <sheetPr codeName="Tabelle10">
    <tabColor theme="9" tint="-0.249977111117893"/>
  </sheetPr>
  <dimension ref="A1:X156"/>
  <sheetViews>
    <sheetView showGridLines="0" showZeros="0" zoomScale="115" zoomScaleNormal="115" zoomScaleSheetLayoutView="115" workbookViewId="0">
      <selection activeCell="B9" sqref="B9"/>
    </sheetView>
  </sheetViews>
  <sheetFormatPr baseColWidth="10" defaultColWidth="11.453125" defaultRowHeight="10"/>
  <cols>
    <col min="1" max="1" width="0.54296875" style="1" customWidth="1"/>
    <col min="2" max="2" width="9.54296875" style="1" customWidth="1"/>
    <col min="3" max="3" width="6.54296875" style="1" customWidth="1"/>
    <col min="4" max="4" width="5.54296875" style="1" customWidth="1"/>
    <col min="5" max="5" width="5.453125" style="1" customWidth="1"/>
    <col min="6" max="6" width="1.81640625" style="1" customWidth="1"/>
    <col min="7" max="7" width="1.453125" style="1" customWidth="1"/>
    <col min="8" max="9" width="7.453125" style="1" customWidth="1"/>
    <col min="10" max="10" width="7.453125" style="42" customWidth="1"/>
    <col min="11" max="11" width="7.453125" style="1" customWidth="1"/>
    <col min="12" max="12" width="7.453125" style="42" customWidth="1"/>
    <col min="13" max="13" width="7.453125" style="1" customWidth="1"/>
    <col min="14" max="15" width="7.453125" style="42" customWidth="1"/>
    <col min="16" max="16" width="8.54296875" style="42" customWidth="1"/>
    <col min="17" max="17" width="7.453125" style="42" customWidth="1"/>
    <col min="18" max="18" width="0.81640625" style="42" customWidth="1"/>
    <col min="19" max="19" width="7.453125" style="42" customWidth="1"/>
    <col min="20" max="20" width="1.1796875" style="1" customWidth="1"/>
    <col min="21" max="21" width="7.1796875" style="202" customWidth="1"/>
    <col min="22" max="24" width="7.26953125" style="202" customWidth="1"/>
    <col min="25" max="16384" width="11.453125" style="1"/>
  </cols>
  <sheetData>
    <row r="1" spans="1:24" ht="13" customHeight="1">
      <c r="A1" s="7"/>
      <c r="B1" s="8"/>
      <c r="C1" s="8"/>
      <c r="D1" s="8"/>
      <c r="E1" s="8"/>
      <c r="F1" s="9"/>
      <c r="H1" s="214"/>
      <c r="I1" s="216"/>
      <c r="J1" s="108"/>
      <c r="K1" s="9"/>
      <c r="L1" s="1364" t="s">
        <v>57</v>
      </c>
      <c r="M1" s="1364" t="s">
        <v>108</v>
      </c>
      <c r="N1" s="1364" t="s">
        <v>126</v>
      </c>
      <c r="O1" s="1364" t="s">
        <v>58</v>
      </c>
      <c r="P1" s="1356" t="s">
        <v>11</v>
      </c>
      <c r="Q1" s="1358" t="s">
        <v>113</v>
      </c>
      <c r="R1" s="341"/>
      <c r="S1" s="332"/>
    </row>
    <row r="2" spans="1:24" ht="38.15" customHeight="1">
      <c r="A2" s="13"/>
      <c r="B2" s="2" t="s">
        <v>24</v>
      </c>
      <c r="C2" s="96"/>
      <c r="D2" s="96"/>
      <c r="E2" s="96"/>
      <c r="F2" s="97"/>
      <c r="H2" s="210" t="s">
        <v>111</v>
      </c>
      <c r="I2" s="3"/>
      <c r="J2" s="49"/>
      <c r="K2" s="14"/>
      <c r="L2" s="1365"/>
      <c r="M2" s="1365"/>
      <c r="N2" s="1365"/>
      <c r="O2" s="1365"/>
      <c r="P2" s="1357"/>
      <c r="Q2" s="1359"/>
      <c r="R2" s="341"/>
      <c r="S2" s="332"/>
      <c r="V2" s="12" t="s">
        <v>863</v>
      </c>
    </row>
    <row r="3" spans="1:24" ht="3" customHeight="1">
      <c r="A3" s="98"/>
      <c r="B3" s="99"/>
      <c r="C3" s="99"/>
      <c r="D3" s="99"/>
      <c r="E3" s="99"/>
      <c r="F3" s="100"/>
      <c r="H3" s="215"/>
      <c r="I3" s="217"/>
      <c r="J3" s="218"/>
      <c r="K3" s="100"/>
      <c r="L3" s="4"/>
      <c r="M3" s="4"/>
      <c r="N3" s="4"/>
      <c r="O3" s="4"/>
      <c r="P3" s="5"/>
      <c r="Q3" s="6"/>
      <c r="R3" s="333"/>
      <c r="S3" s="333"/>
    </row>
    <row r="4" spans="1:24">
      <c r="A4" s="2"/>
      <c r="B4" s="2"/>
      <c r="C4" s="2"/>
      <c r="D4" s="2"/>
      <c r="E4" s="2"/>
      <c r="F4" s="2"/>
      <c r="H4" s="3"/>
      <c r="I4" s="3"/>
      <c r="K4" s="10"/>
      <c r="L4" s="11"/>
      <c r="M4" s="3"/>
      <c r="N4" s="11"/>
      <c r="O4" s="11"/>
      <c r="P4" s="11"/>
      <c r="Q4" s="12"/>
      <c r="R4" s="12"/>
      <c r="S4" s="12"/>
    </row>
    <row r="5" spans="1:24" ht="11.25" customHeight="1">
      <c r="A5" s="7"/>
      <c r="B5" s="8"/>
      <c r="C5" s="8"/>
      <c r="D5" s="8"/>
      <c r="E5" s="8"/>
      <c r="F5" s="9"/>
      <c r="H5" s="15" t="s">
        <v>87</v>
      </c>
      <c r="I5" s="3"/>
      <c r="K5" s="10"/>
      <c r="L5" s="11"/>
      <c r="M5" s="3"/>
      <c r="N5" s="11"/>
      <c r="O5" s="11"/>
      <c r="P5" s="11"/>
      <c r="Q5" s="12"/>
      <c r="R5" s="12"/>
      <c r="S5" s="12"/>
      <c r="V5" s="1225"/>
      <c r="W5" s="1226"/>
      <c r="X5" s="1227"/>
    </row>
    <row r="6" spans="1:24" s="19" customFormat="1" ht="11.5" customHeight="1">
      <c r="A6" s="16"/>
      <c r="B6" s="24"/>
      <c r="C6" s="17"/>
      <c r="D6" s="17"/>
      <c r="E6" s="17"/>
      <c r="F6" s="18"/>
      <c r="H6" s="203" t="s">
        <v>0</v>
      </c>
      <c r="I6" s="17"/>
      <c r="L6" s="339">
        <f>IF(E15&gt;0,E15,0)</f>
        <v>0</v>
      </c>
      <c r="M6" s="20">
        <f>IF(E15&gt;0,'HAW-Kennwerte'!C15,0)</f>
        <v>0</v>
      </c>
      <c r="N6" s="205">
        <f>IF(L6&gt;0,IF(E21="ja",'HAW-Kennwerte'!D15,1),0)</f>
        <v>0</v>
      </c>
      <c r="O6" s="22"/>
      <c r="P6" s="23">
        <f>L6*M6*N6</f>
        <v>0</v>
      </c>
      <c r="Q6" s="328">
        <f>IF(P6&gt;0,'HAW-Kennwerte'!Z9,0)</f>
        <v>0</v>
      </c>
      <c r="R6" s="328"/>
      <c r="S6" s="328"/>
      <c r="U6" s="203"/>
      <c r="V6" s="1200"/>
      <c r="W6" s="1201"/>
      <c r="X6" s="1202"/>
    </row>
    <row r="7" spans="1:24" s="19" customFormat="1" ht="11.5" customHeight="1">
      <c r="A7" s="16"/>
      <c r="B7" s="928" t="str">
        <f>HAW!B4</f>
        <v>Hochschule …</v>
      </c>
      <c r="C7" s="928"/>
      <c r="D7" s="928"/>
      <c r="E7" s="928"/>
      <c r="F7" s="18"/>
      <c r="H7" s="203" t="s">
        <v>1</v>
      </c>
      <c r="I7" s="17"/>
      <c r="L7" s="340">
        <f>IF(E15-E16&lt;0,0,IF(E23&gt;E16,0,E16))</f>
        <v>0</v>
      </c>
      <c r="M7" s="895">
        <f>IF(L7&gt;0,'HAW-Kennwerte'!I15,0)</f>
        <v>0</v>
      </c>
      <c r="N7" s="205"/>
      <c r="O7" s="896">
        <f>IFERROR(IF(L7&gt;0,((E16-E23)*'HAW-Kennwerte'!J15+E23*(E24*'HAW-Kennwerte'!K15+E25*'HAW-Kennwerte'!M15))/(E16*M7),0),"")</f>
        <v>0</v>
      </c>
      <c r="P7" s="27">
        <f>IFERROR(L7*M7*O7,"")</f>
        <v>0</v>
      </c>
      <c r="Q7" s="329">
        <f>IF(P7&gt;0,'HAW-Kennwerte'!AA15,0)</f>
        <v>0</v>
      </c>
      <c r="R7" s="329"/>
      <c r="S7" s="329"/>
      <c r="U7" s="203"/>
      <c r="V7" s="1200"/>
      <c r="W7" s="1201"/>
      <c r="X7" s="1202"/>
    </row>
    <row r="8" spans="1:24" s="19" customFormat="1" ht="11.5" customHeight="1">
      <c r="A8" s="16"/>
      <c r="B8" s="473">
        <f>HAW!B5</f>
        <v>0</v>
      </c>
      <c r="F8" s="18"/>
      <c r="H8" s="203" t="s">
        <v>86</v>
      </c>
      <c r="I8" s="17"/>
      <c r="L8" s="29"/>
      <c r="M8" s="20"/>
      <c r="N8" s="21"/>
      <c r="O8" s="22"/>
      <c r="P8" s="352"/>
      <c r="Q8" s="329"/>
      <c r="R8" s="329"/>
      <c r="S8" s="329"/>
      <c r="U8" s="203"/>
      <c r="V8" s="1228"/>
      <c r="W8" s="1229"/>
      <c r="X8" s="1230"/>
    </row>
    <row r="9" spans="1:24" s="19" customFormat="1" ht="11.5" customHeight="1">
      <c r="A9" s="16"/>
      <c r="B9" s="346" t="s">
        <v>93</v>
      </c>
      <c r="C9" s="347"/>
      <c r="D9" s="347"/>
      <c r="E9" s="347"/>
      <c r="F9" s="18"/>
      <c r="H9" s="203" t="s">
        <v>159</v>
      </c>
      <c r="I9" s="17"/>
      <c r="L9" s="339"/>
      <c r="M9" s="30"/>
      <c r="N9" s="21"/>
      <c r="O9" s="22"/>
      <c r="P9" s="52"/>
      <c r="Q9" s="329"/>
      <c r="R9" s="329"/>
      <c r="S9" s="329"/>
      <c r="U9" s="203"/>
      <c r="V9" s="1228"/>
      <c r="W9" s="1229"/>
      <c r="X9" s="1230"/>
    </row>
    <row r="10" spans="1:24" s="19" customFormat="1" ht="11.5" customHeight="1">
      <c r="A10" s="16"/>
      <c r="B10" s="346" t="s">
        <v>92</v>
      </c>
      <c r="C10" s="348"/>
      <c r="D10" s="348"/>
      <c r="E10" s="348"/>
      <c r="F10" s="18"/>
      <c r="H10" s="204" t="s">
        <v>19</v>
      </c>
      <c r="I10" s="17"/>
      <c r="L10" s="765">
        <f>IF(SUM($E$17:$E$18)&gt;0,$S$84,0)</f>
        <v>0</v>
      </c>
      <c r="M10" s="30">
        <f>IF($L$10&gt;0,'HAW-Kennwerte'!R15,0)</f>
        <v>0</v>
      </c>
      <c r="N10" s="205">
        <f>IF(L10&gt;0,E19,0)</f>
        <v>0</v>
      </c>
      <c r="O10" s="26">
        <f>IF(E84&gt;0.15,0,IFERROR((M10+M10*0.8*E84*0.4)/M10,0))</f>
        <v>0</v>
      </c>
      <c r="P10" s="27">
        <f>L10*N10*(M10*O10+IF(E86="ja",'HAW-Kennwerte'!$R$29,0))</f>
        <v>0</v>
      </c>
      <c r="Q10" s="329"/>
      <c r="R10" s="329"/>
      <c r="S10" s="329"/>
      <c r="U10" s="203"/>
      <c r="V10" s="1200"/>
      <c r="W10" s="1201"/>
      <c r="X10" s="1202"/>
    </row>
    <row r="11" spans="1:24" s="19" customFormat="1" ht="11.5" customHeight="1">
      <c r="A11" s="16"/>
      <c r="B11" s="56"/>
      <c r="C11" s="56"/>
      <c r="D11" s="56"/>
      <c r="E11" s="56"/>
      <c r="F11" s="18"/>
      <c r="H11" s="204" t="s">
        <v>91</v>
      </c>
      <c r="I11" s="17"/>
      <c r="L11" s="765">
        <f>IF(SUM($E$17:$E$18)&gt;0,SUM($E$17:$E$18),0)</f>
        <v>0</v>
      </c>
      <c r="M11" s="249">
        <f>IF($L$11&gt;0,'HAW-Kennwerte'!S12,0)</f>
        <v>0</v>
      </c>
      <c r="N11" s="205">
        <f>IF(L11&gt;0,E19,0)</f>
        <v>0</v>
      </c>
      <c r="O11" s="22"/>
      <c r="P11" s="31">
        <f>L11*M11*N11</f>
        <v>0</v>
      </c>
      <c r="Q11" s="329"/>
      <c r="R11" s="329"/>
      <c r="S11" s="329"/>
      <c r="U11" s="203"/>
      <c r="V11" s="1200"/>
      <c r="W11" s="1201"/>
      <c r="X11" s="1202"/>
    </row>
    <row r="12" spans="1:24" s="19" customFormat="1" ht="11.5" customHeight="1">
      <c r="A12" s="16"/>
      <c r="B12" s="24" t="s">
        <v>8</v>
      </c>
      <c r="F12" s="18"/>
      <c r="H12" s="204" t="s">
        <v>109</v>
      </c>
      <c r="I12" s="17"/>
      <c r="L12" s="766">
        <f>IF($E$17&gt;0,$E$17,0)</f>
        <v>0</v>
      </c>
      <c r="M12" s="577">
        <f>IF(L12&gt;0,'HAW-Kennwerte'!U15,0)</f>
        <v>0</v>
      </c>
      <c r="N12" s="205">
        <f>IF(L12&gt;0,IF(E19=0,0,IF(E19&lt;0.7,0.7,E19)),0)</f>
        <v>0</v>
      </c>
      <c r="O12" s="896">
        <f>IFERROR(IF(L12&gt;0,('HAW-Kennwerte'!U15+E25*'HAW-Kennwerte'!W15)/'HAW-Kennwerte'!U15,0),"")</f>
        <v>0</v>
      </c>
      <c r="P12" s="31">
        <f>IFERROR(L12*M12*N12*O12,"")</f>
        <v>0</v>
      </c>
      <c r="Q12" s="329">
        <f>IF(P12&gt;0,'HAW-Kennwerte'!AA15,0)</f>
        <v>0</v>
      </c>
      <c r="R12" s="329"/>
      <c r="S12" s="329"/>
      <c r="U12" s="203"/>
      <c r="V12" s="1200"/>
      <c r="W12" s="1201"/>
      <c r="X12" s="1202"/>
    </row>
    <row r="13" spans="1:24" s="19" customFormat="1" ht="11.5" customHeight="1">
      <c r="A13" s="16"/>
      <c r="B13" s="56" t="s">
        <v>6</v>
      </c>
      <c r="F13" s="18"/>
      <c r="H13" s="204" t="s">
        <v>110</v>
      </c>
      <c r="I13" s="17"/>
      <c r="L13" s="766">
        <f>IF($E$18&gt;0,$E$18,0)</f>
        <v>0</v>
      </c>
      <c r="M13" s="30">
        <f>IF(L13&gt;0,'HAW-Kennwerte'!X15,0)</f>
        <v>0</v>
      </c>
      <c r="N13" s="205">
        <f>IF(L13&gt;0,IF(E19=0,0,IF(E19&lt;0.7,0.7,E19)),0)</f>
        <v>0</v>
      </c>
      <c r="O13" s="22"/>
      <c r="P13" s="31">
        <f>L13*M13*N13</f>
        <v>0</v>
      </c>
      <c r="Q13" s="329">
        <f>IF(P13&gt;0,'HAW-Kennwerte'!AA15,0)</f>
        <v>0</v>
      </c>
      <c r="R13" s="329"/>
      <c r="S13" s="329"/>
      <c r="U13" s="203"/>
      <c r="V13" s="1200"/>
      <c r="W13" s="1201"/>
      <c r="X13" s="1202"/>
    </row>
    <row r="14" spans="1:24" s="19" customFormat="1" ht="11.5" customHeight="1">
      <c r="A14" s="16"/>
      <c r="C14" s="56"/>
      <c r="F14" s="18"/>
      <c r="H14" s="203" t="s">
        <v>20</v>
      </c>
      <c r="I14" s="17"/>
      <c r="K14" s="112"/>
      <c r="L14" s="32"/>
      <c r="M14" s="17"/>
      <c r="N14" s="32"/>
      <c r="O14" s="33"/>
      <c r="P14" s="34">
        <f>SUMPRODUCT(P6:P13,Q6:Q13)</f>
        <v>0</v>
      </c>
      <c r="Q14" s="330"/>
      <c r="R14" s="330"/>
      <c r="S14" s="330"/>
      <c r="U14" s="203"/>
      <c r="V14" s="1200"/>
      <c r="W14" s="1201"/>
      <c r="X14" s="1202"/>
    </row>
    <row r="15" spans="1:24" s="19" customFormat="1" ht="10.5">
      <c r="A15" s="16"/>
      <c r="B15" s="17"/>
      <c r="C15" s="17"/>
      <c r="D15" s="246" t="s">
        <v>73</v>
      </c>
      <c r="E15" s="349"/>
      <c r="F15" s="18"/>
      <c r="H15" s="17"/>
      <c r="I15" s="17"/>
      <c r="K15" s="35"/>
      <c r="L15" s="36"/>
      <c r="M15" s="17"/>
      <c r="N15" s="35"/>
      <c r="O15" s="35"/>
      <c r="P15" s="38">
        <f>SUM(P6:P14)</f>
        <v>0</v>
      </c>
      <c r="Q15" s="330"/>
      <c r="R15" s="330"/>
      <c r="S15" s="330"/>
      <c r="U15" s="203"/>
      <c r="V15" s="1228"/>
      <c r="W15" s="1229"/>
      <c r="X15" s="1230"/>
    </row>
    <row r="16" spans="1:24" s="19" customFormat="1" ht="11.25" customHeight="1">
      <c r="A16" s="16"/>
      <c r="B16" s="17"/>
      <c r="D16" s="223" t="s">
        <v>75</v>
      </c>
      <c r="E16" s="349"/>
      <c r="F16" s="18"/>
      <c r="H16" s="17"/>
      <c r="I16" s="17"/>
      <c r="K16" s="35"/>
      <c r="L16" s="36"/>
      <c r="M16" s="17"/>
      <c r="N16" s="35"/>
      <c r="O16" s="35"/>
      <c r="Q16" s="330"/>
      <c r="R16" s="330"/>
      <c r="S16" s="330"/>
      <c r="U16" s="203"/>
      <c r="V16" s="1228"/>
      <c r="W16" s="1229"/>
      <c r="X16" s="1230"/>
    </row>
    <row r="17" spans="1:24" s="19" customFormat="1">
      <c r="A17" s="16"/>
      <c r="B17" s="17"/>
      <c r="C17" s="17"/>
      <c r="D17" s="223" t="s">
        <v>185</v>
      </c>
      <c r="E17" s="764">
        <f>L84</f>
        <v>0</v>
      </c>
      <c r="F17" s="18"/>
      <c r="H17" s="24" t="s">
        <v>12</v>
      </c>
      <c r="I17" s="17"/>
      <c r="K17" s="35"/>
      <c r="L17" s="36"/>
      <c r="M17" s="17"/>
      <c r="N17" s="35"/>
      <c r="O17" s="35"/>
      <c r="P17" s="37"/>
      <c r="Q17" s="330"/>
      <c r="R17" s="330"/>
      <c r="S17" s="330"/>
      <c r="U17" s="203"/>
      <c r="V17" s="1228"/>
      <c r="W17" s="1229"/>
      <c r="X17" s="1230"/>
    </row>
    <row r="18" spans="1:24" s="19" customFormat="1" ht="11.5" customHeight="1">
      <c r="A18" s="16"/>
      <c r="B18" s="17"/>
      <c r="C18" s="17"/>
      <c r="D18" s="223" t="s">
        <v>186</v>
      </c>
      <c r="E18" s="764">
        <f>Q84</f>
        <v>0</v>
      </c>
      <c r="F18" s="18"/>
      <c r="H18" s="203" t="s">
        <v>0</v>
      </c>
      <c r="I18" s="17"/>
      <c r="L18" s="39">
        <f>E20/100</f>
        <v>0</v>
      </c>
      <c r="M18" s="30">
        <f>IF(N46=0,IF(E20&gt;0,'HAW-Kennwerte'!F15,0),'HAW-Kennwerte'!E15*81600/N46)</f>
        <v>0</v>
      </c>
      <c r="N18" s="205">
        <f>IF(L18&gt;0,IF(E21="ja",'HAW-Kennwerte'!G15,1),0)</f>
        <v>0</v>
      </c>
      <c r="O18" s="205"/>
      <c r="P18" s="23">
        <f>L18*M18*N18</f>
        <v>0</v>
      </c>
      <c r="Q18" s="328">
        <f>IF(P18&gt;0,Q6,0)</f>
        <v>0</v>
      </c>
      <c r="R18" s="328"/>
      <c r="S18" s="328"/>
      <c r="U18" s="203"/>
      <c r="V18" s="1200"/>
      <c r="W18" s="1201"/>
      <c r="X18" s="1202"/>
    </row>
    <row r="19" spans="1:24" s="19" customFormat="1" ht="11.5" customHeight="1">
      <c r="A19" s="16"/>
      <c r="B19" s="17"/>
      <c r="C19" s="17"/>
      <c r="D19" s="53" t="s">
        <v>27</v>
      </c>
      <c r="E19" s="688">
        <f>S88</f>
        <v>0</v>
      </c>
      <c r="F19" s="18"/>
      <c r="H19" s="203" t="s">
        <v>1</v>
      </c>
      <c r="I19" s="17"/>
      <c r="L19" s="39">
        <f>IF(M19=0,0,L18)</f>
        <v>0</v>
      </c>
      <c r="M19" s="30">
        <f>IF(N46=0,IF(E20=0,0,IF(P7=0,0,'HAW-Kennwerte'!P15)),'HAW-Kennwerte'!O15*81600/N46)</f>
        <v>0</v>
      </c>
      <c r="N19" s="25"/>
      <c r="O19" s="25"/>
      <c r="P19" s="27">
        <f>L19*M19</f>
        <v>0</v>
      </c>
      <c r="Q19" s="329">
        <f>IF(P19&gt;0,Q$7,0)</f>
        <v>0</v>
      </c>
      <c r="R19" s="329"/>
      <c r="S19" s="329"/>
      <c r="U19" s="203"/>
      <c r="V19" s="1200"/>
      <c r="W19" s="1201"/>
      <c r="X19" s="1202"/>
    </row>
    <row r="20" spans="1:24" s="19" customFormat="1" ht="11.5" customHeight="1">
      <c r="A20" s="16"/>
      <c r="B20" s="17"/>
      <c r="C20" s="17"/>
      <c r="D20" s="53" t="s">
        <v>28</v>
      </c>
      <c r="E20" s="55">
        <f>H47</f>
        <v>0</v>
      </c>
      <c r="F20" s="18"/>
      <c r="H20" s="203" t="s">
        <v>159</v>
      </c>
      <c r="I20" s="17"/>
      <c r="L20" s="39"/>
      <c r="M20" s="30"/>
      <c r="N20" s="21"/>
      <c r="O20" s="25"/>
      <c r="P20" s="52"/>
      <c r="Q20" s="329"/>
      <c r="R20" s="329"/>
      <c r="S20" s="329"/>
      <c r="U20" s="203"/>
      <c r="V20" s="1228"/>
      <c r="W20" s="1229"/>
      <c r="X20" s="1230"/>
    </row>
    <row r="21" spans="1:24" s="19" customFormat="1" ht="11.5" customHeight="1">
      <c r="A21" s="16"/>
      <c r="B21" s="17"/>
      <c r="C21" s="17"/>
      <c r="D21" s="223" t="s">
        <v>247</v>
      </c>
      <c r="E21" s="793" t="s">
        <v>248</v>
      </c>
      <c r="F21" s="18"/>
      <c r="H21" s="203" t="s">
        <v>20</v>
      </c>
      <c r="I21" s="17"/>
      <c r="P21" s="34">
        <f>SUMPRODUCT(P18:P20,Q18:Q20)</f>
        <v>0</v>
      </c>
      <c r="Q21" s="329"/>
      <c r="R21" s="329"/>
      <c r="S21" s="329"/>
      <c r="U21" s="203"/>
      <c r="V21" s="1200"/>
      <c r="W21" s="1201"/>
      <c r="X21" s="1202"/>
    </row>
    <row r="22" spans="1:24" s="19" customFormat="1" ht="11.5" customHeight="1">
      <c r="A22" s="16"/>
      <c r="B22" s="17"/>
      <c r="C22" s="2"/>
      <c r="F22" s="18"/>
      <c r="I22" s="17"/>
      <c r="K22" s="17"/>
      <c r="L22" s="213"/>
      <c r="M22" s="17"/>
      <c r="N22" s="112"/>
      <c r="O22" s="212"/>
      <c r="P22" s="38">
        <f>SUM(P18:P21)</f>
        <v>0</v>
      </c>
      <c r="Q22" s="28"/>
      <c r="R22" s="28"/>
      <c r="S22" s="28"/>
      <c r="U22" s="203"/>
      <c r="V22" s="1228"/>
      <c r="W22" s="1229"/>
      <c r="X22" s="1230"/>
    </row>
    <row r="23" spans="1:24" s="19" customFormat="1" ht="11.5" customHeight="1">
      <c r="A23" s="16"/>
      <c r="B23" s="17"/>
      <c r="C23" s="17"/>
      <c r="D23" s="223" t="s">
        <v>127</v>
      </c>
      <c r="E23" s="349">
        <f>P103</f>
        <v>0</v>
      </c>
      <c r="F23" s="18"/>
      <c r="I23" s="17"/>
      <c r="J23" s="112"/>
      <c r="K23" s="17"/>
      <c r="L23" s="44"/>
      <c r="M23" s="17"/>
      <c r="N23" s="112"/>
      <c r="O23" s="212"/>
      <c r="R23" s="40"/>
      <c r="S23" s="40"/>
      <c r="U23" s="203"/>
      <c r="V23" s="1228"/>
      <c r="W23" s="1229"/>
      <c r="X23" s="1230"/>
    </row>
    <row r="24" spans="1:24" ht="12.65" customHeight="1">
      <c r="A24" s="13"/>
      <c r="B24" s="2"/>
      <c r="C24" s="17"/>
      <c r="D24" s="53" t="s">
        <v>13</v>
      </c>
      <c r="E24" s="350" t="str">
        <f>P104</f>
        <v/>
      </c>
      <c r="F24" s="14"/>
      <c r="I24" s="24" t="s">
        <v>15</v>
      </c>
      <c r="J24" s="1"/>
      <c r="K24" s="17"/>
      <c r="L24" s="41"/>
      <c r="M24" s="2"/>
      <c r="P24" s="43"/>
      <c r="Q24" s="1185" t="s">
        <v>789</v>
      </c>
      <c r="R24" s="12"/>
      <c r="S24" s="12"/>
      <c r="V24" s="1231"/>
      <c r="W24" s="1232"/>
      <c r="X24" s="1174"/>
    </row>
    <row r="25" spans="1:24" ht="11.15" customHeight="1">
      <c r="A25" s="13"/>
      <c r="B25" s="2"/>
      <c r="D25" s="53" t="s">
        <v>14</v>
      </c>
      <c r="E25" s="688">
        <f>IF(E23&gt;0,IF(E24="",0,1-E24),0)</f>
        <v>0</v>
      </c>
      <c r="F25" s="14"/>
      <c r="I25" s="1167" t="s">
        <v>293</v>
      </c>
      <c r="J25" s="359"/>
      <c r="K25" s="359"/>
      <c r="L25" s="360"/>
      <c r="M25" s="361"/>
      <c r="N25" s="362"/>
      <c r="P25" s="351"/>
      <c r="Q25" s="718"/>
      <c r="R25" s="788"/>
      <c r="S25" s="788"/>
      <c r="V25" s="1231"/>
      <c r="W25" s="1232"/>
      <c r="X25" s="1174"/>
    </row>
    <row r="26" spans="1:24">
      <c r="A26" s="13"/>
      <c r="B26" s="2"/>
      <c r="C26" s="2"/>
      <c r="D26" s="2"/>
      <c r="E26" s="2"/>
      <c r="F26" s="14"/>
      <c r="I26" s="1168"/>
      <c r="J26" s="363"/>
      <c r="K26" s="363"/>
      <c r="L26" s="364"/>
      <c r="M26" s="363"/>
      <c r="N26" s="365"/>
      <c r="P26" s="352"/>
      <c r="Q26" s="718"/>
      <c r="R26" s="788"/>
      <c r="S26" s="788"/>
      <c r="V26" s="1231"/>
      <c r="W26" s="1232"/>
      <c r="X26" s="1174"/>
    </row>
    <row r="27" spans="1:24" s="19" customFormat="1" ht="11.5" customHeight="1">
      <c r="A27" s="16"/>
      <c r="B27" s="17"/>
      <c r="C27" s="53" t="s">
        <v>29</v>
      </c>
      <c r="D27" s="1360">
        <f>HAW!D24</f>
        <v>0</v>
      </c>
      <c r="E27" s="1361"/>
      <c r="F27" s="18"/>
      <c r="I27" s="1168"/>
      <c r="J27" s="366"/>
      <c r="K27" s="366"/>
      <c r="L27" s="366"/>
      <c r="M27" s="366"/>
      <c r="N27" s="367"/>
      <c r="O27" s="35"/>
      <c r="P27" s="352"/>
      <c r="Q27" s="719"/>
      <c r="R27" s="789"/>
      <c r="S27" s="789"/>
      <c r="U27" s="203"/>
      <c r="V27" s="1228"/>
      <c r="W27" s="1229"/>
      <c r="X27" s="1230"/>
    </row>
    <row r="28" spans="1:24" s="19" customFormat="1" ht="11.5" customHeight="1">
      <c r="A28" s="16"/>
      <c r="B28" s="17"/>
      <c r="C28" s="53" t="s">
        <v>30</v>
      </c>
      <c r="D28" s="1362">
        <f>HAW!D25</f>
        <v>0</v>
      </c>
      <c r="E28" s="1363"/>
      <c r="F28" s="18"/>
      <c r="I28" s="1168"/>
      <c r="J28" s="366"/>
      <c r="K28" s="366"/>
      <c r="L28" s="366"/>
      <c r="M28" s="366"/>
      <c r="N28" s="366"/>
      <c r="P28" s="352"/>
      <c r="Q28" s="719"/>
      <c r="R28" s="789"/>
      <c r="S28" s="789"/>
      <c r="U28" s="203"/>
      <c r="V28" s="1228"/>
      <c r="W28" s="1229"/>
      <c r="X28" s="1230"/>
    </row>
    <row r="29" spans="1:24" s="19" customFormat="1" ht="11.5" customHeight="1">
      <c r="A29" s="102"/>
      <c r="B29" s="103"/>
      <c r="C29" s="103"/>
      <c r="D29" s="103"/>
      <c r="E29" s="103"/>
      <c r="F29" s="104"/>
      <c r="I29" s="1168"/>
      <c r="J29" s="366"/>
      <c r="K29" s="366"/>
      <c r="L29" s="366"/>
      <c r="M29" s="366"/>
      <c r="N29" s="366"/>
      <c r="P29" s="353"/>
      <c r="Q29" s="719"/>
      <c r="R29" s="789"/>
      <c r="S29" s="789"/>
      <c r="U29" s="203"/>
      <c r="V29" s="1228"/>
      <c r="W29" s="1229"/>
      <c r="X29" s="1230"/>
    </row>
    <row r="30" spans="1:24" s="19" customFormat="1" ht="11.25" customHeight="1">
      <c r="A30" s="17"/>
      <c r="I30" s="17"/>
      <c r="J30" s="1366"/>
      <c r="K30" s="1366"/>
      <c r="L30" s="1366"/>
      <c r="M30" s="1366"/>
      <c r="N30" s="1366"/>
      <c r="O30" s="1366"/>
      <c r="P30" s="38">
        <f>SUM(P25:P29)</f>
        <v>0</v>
      </c>
      <c r="Q30" s="40"/>
      <c r="R30" s="40"/>
      <c r="S30" s="40"/>
      <c r="U30" s="203"/>
      <c r="V30" s="1228"/>
      <c r="W30" s="1229"/>
      <c r="X30" s="1230"/>
    </row>
    <row r="31" spans="1:24" ht="11.25" customHeight="1">
      <c r="A31" s="2"/>
      <c r="B31" s="2"/>
      <c r="C31" s="2"/>
      <c r="H31" s="106"/>
      <c r="I31" s="224"/>
      <c r="J31" s="225"/>
      <c r="K31" s="224"/>
      <c r="L31" s="226"/>
      <c r="M31" s="225"/>
      <c r="N31" s="107"/>
      <c r="O31" s="107"/>
      <c r="P31" s="227"/>
      <c r="Q31" s="50"/>
      <c r="R31" s="50"/>
      <c r="S31" s="40"/>
      <c r="V31" s="1231"/>
      <c r="W31" s="1232"/>
      <c r="X31" s="1174"/>
    </row>
    <row r="32" spans="1:24" ht="11.25" customHeight="1">
      <c r="A32" s="2"/>
      <c r="B32" s="2"/>
      <c r="C32" s="2"/>
      <c r="I32" s="47"/>
      <c r="J32" s="24"/>
      <c r="K32" s="47"/>
      <c r="L32" s="48"/>
      <c r="M32" s="24"/>
      <c r="N32" s="49"/>
      <c r="O32" s="49"/>
      <c r="P32" s="50"/>
      <c r="Q32" s="50"/>
      <c r="R32" s="50"/>
      <c r="S32" s="50"/>
      <c r="V32" s="1231"/>
      <c r="W32" s="1232"/>
      <c r="X32" s="1174"/>
    </row>
    <row r="33" spans="1:24" ht="50.15" customHeight="1" thickBot="1">
      <c r="A33" s="2"/>
      <c r="B33" s="2"/>
      <c r="C33" s="2"/>
      <c r="D33" s="2"/>
      <c r="F33" s="219" t="s">
        <v>16</v>
      </c>
      <c r="G33" s="2"/>
      <c r="H33" s="220" t="s">
        <v>0</v>
      </c>
      <c r="I33" s="220" t="s">
        <v>1</v>
      </c>
      <c r="J33" s="221" t="s">
        <v>197</v>
      </c>
      <c r="K33" s="221" t="s">
        <v>159</v>
      </c>
      <c r="L33" s="221" t="s">
        <v>198</v>
      </c>
      <c r="M33" s="221" t="s">
        <v>22</v>
      </c>
      <c r="N33" s="220" t="s">
        <v>20</v>
      </c>
      <c r="O33" s="221" t="s">
        <v>199</v>
      </c>
      <c r="T33" s="77"/>
      <c r="V33" s="1231"/>
      <c r="W33" s="1232"/>
      <c r="X33" s="1174"/>
    </row>
    <row r="34" spans="1:24" ht="17.149999999999999" customHeight="1" thickBot="1">
      <c r="B34" s="2"/>
      <c r="C34" s="2"/>
      <c r="D34" s="2"/>
      <c r="G34" s="2"/>
      <c r="H34" s="222">
        <f>P6+P18+SUMIF(Q25:Q29,H33,P25:P29)</f>
        <v>0</v>
      </c>
      <c r="I34" s="222">
        <f>IFERROR(P7+P19+SUMIF(Q25:Q29,I33,P25:P29),"")</f>
        <v>0</v>
      </c>
      <c r="J34" s="222">
        <f>P8+SUMIF(Q25:Q29,J33,P25:P29)</f>
        <v>0</v>
      </c>
      <c r="K34" s="222">
        <f>SUMIF(Q25:Q29,K33,P25:P29)</f>
        <v>0</v>
      </c>
      <c r="L34" s="222">
        <f>P10+P11+SUMIF(Q25:Q29,L33,P25:P29)</f>
        <v>0</v>
      </c>
      <c r="M34" s="222">
        <f>P12+P13+SUMIF(Q25:Q29,M33,P25:P29)</f>
        <v>0</v>
      </c>
      <c r="N34" s="222">
        <f>P14+P21+SUMIF(Q25:Q29,N33,P25:P29)</f>
        <v>0</v>
      </c>
      <c r="O34" s="222">
        <f>SUMIF(Q25:Q29,O33,P25:P29)</f>
        <v>0</v>
      </c>
      <c r="P34" s="331">
        <f>SUM(H34:O34)</f>
        <v>0</v>
      </c>
      <c r="Q34" s="101"/>
      <c r="R34" s="101"/>
      <c r="S34" s="101"/>
      <c r="T34" s="77"/>
      <c r="V34" s="1231"/>
      <c r="W34" s="1232"/>
      <c r="X34" s="1174"/>
    </row>
    <row r="35" spans="1:24">
      <c r="A35" s="106"/>
      <c r="B35" s="105"/>
      <c r="C35" s="46"/>
      <c r="D35" s="46"/>
      <c r="E35" s="46"/>
      <c r="F35" s="46"/>
      <c r="G35" s="106"/>
      <c r="H35" s="106"/>
      <c r="I35" s="106"/>
      <c r="J35" s="107"/>
      <c r="K35" s="106"/>
      <c r="L35" s="107"/>
      <c r="M35" s="106"/>
      <c r="N35" s="107"/>
      <c r="O35" s="107"/>
      <c r="P35" s="107"/>
      <c r="Q35" s="107"/>
      <c r="R35" s="49"/>
      <c r="S35" s="49"/>
      <c r="T35" s="77"/>
      <c r="V35" s="1231"/>
      <c r="W35" s="1232"/>
      <c r="X35" s="1174"/>
    </row>
    <row r="36" spans="1:24">
      <c r="S36" s="49"/>
      <c r="T36" s="77"/>
      <c r="V36" s="1231"/>
      <c r="W36" s="1232"/>
      <c r="X36" s="1174"/>
    </row>
    <row r="37" spans="1:24">
      <c r="A37" s="7"/>
      <c r="B37" s="8"/>
      <c r="C37" s="8"/>
      <c r="D37" s="8"/>
      <c r="E37" s="8"/>
      <c r="F37" s="8"/>
      <c r="G37" s="8"/>
      <c r="H37" s="8"/>
      <c r="I37" s="8"/>
      <c r="J37" s="8"/>
      <c r="K37" s="8"/>
      <c r="L37" s="8"/>
      <c r="M37" s="8"/>
      <c r="N37" s="108"/>
      <c r="O37" s="108"/>
      <c r="P37" s="109"/>
      <c r="S37" s="49"/>
      <c r="T37" s="77"/>
      <c r="V37" s="1231"/>
      <c r="W37" s="1232"/>
      <c r="X37" s="1174"/>
    </row>
    <row r="38" spans="1:24" ht="10.5">
      <c r="A38" s="13"/>
      <c r="E38" s="110" t="s">
        <v>70</v>
      </c>
      <c r="F38" s="2"/>
      <c r="G38" s="2"/>
      <c r="H38" s="2"/>
      <c r="I38" s="2"/>
      <c r="J38" s="2"/>
      <c r="K38" s="238" t="s">
        <v>69</v>
      </c>
      <c r="M38" s="2"/>
      <c r="N38" s="49"/>
      <c r="O38" s="49"/>
      <c r="P38" s="111"/>
      <c r="S38" s="49"/>
      <c r="T38" s="77"/>
      <c r="V38" s="1231"/>
      <c r="W38" s="1232"/>
      <c r="X38" s="1174"/>
    </row>
    <row r="39" spans="1:24" ht="2.5" customHeight="1">
      <c r="A39" s="13"/>
      <c r="E39" s="110"/>
      <c r="F39" s="2"/>
      <c r="G39" s="2"/>
      <c r="H39" s="46"/>
      <c r="I39" s="2"/>
      <c r="J39" s="2"/>
      <c r="K39" s="2"/>
      <c r="L39" s="2"/>
      <c r="M39" s="2"/>
      <c r="N39" s="49"/>
      <c r="O39" s="49"/>
      <c r="P39" s="111"/>
      <c r="S39" s="49"/>
      <c r="T39" s="77"/>
      <c r="V39" s="1231"/>
      <c r="W39" s="1232"/>
      <c r="X39" s="1174"/>
    </row>
    <row r="40" spans="1:24" ht="11.15" customHeight="1">
      <c r="A40" s="13"/>
      <c r="E40" s="207">
        <f>IF($E$44&gt;2023,$E$44-4,"")</f>
        <v>2021</v>
      </c>
      <c r="H40" s="354"/>
      <c r="I40" s="2" t="s">
        <v>25</v>
      </c>
      <c r="J40" s="2"/>
      <c r="K40" s="2"/>
      <c r="L40" s="49"/>
      <c r="M40" s="2"/>
      <c r="N40" s="49"/>
      <c r="O40" s="49"/>
      <c r="P40" s="111"/>
      <c r="S40" s="49"/>
      <c r="T40" s="77"/>
      <c r="V40" s="1231"/>
      <c r="W40" s="1232"/>
      <c r="X40" s="1174"/>
    </row>
    <row r="41" spans="1:24" ht="11.15" customHeight="1">
      <c r="A41" s="13"/>
      <c r="E41" s="207">
        <f>IF($E$44&gt;2023,$E$44-3,"")</f>
        <v>2022</v>
      </c>
      <c r="H41" s="354"/>
      <c r="I41" s="228" t="s">
        <v>25</v>
      </c>
      <c r="J41" s="2"/>
      <c r="K41" s="2"/>
      <c r="L41" s="49"/>
      <c r="M41" s="2"/>
      <c r="N41" s="49"/>
      <c r="O41" s="49"/>
      <c r="P41" s="111"/>
      <c r="S41" s="49"/>
      <c r="T41" s="77"/>
      <c r="V41" s="1231"/>
      <c r="W41" s="1232"/>
      <c r="X41" s="1174"/>
    </row>
    <row r="42" spans="1:24" ht="11.15" customHeight="1">
      <c r="A42" s="13"/>
      <c r="E42" s="207">
        <f>IF($E$44&gt;2023,$E$44-2,"")</f>
        <v>2023</v>
      </c>
      <c r="H42" s="354"/>
      <c r="I42" s="228" t="s">
        <v>25</v>
      </c>
      <c r="J42" s="2"/>
      <c r="K42" s="2"/>
      <c r="L42" s="49"/>
      <c r="M42" s="2"/>
      <c r="N42" s="49"/>
      <c r="O42" s="49"/>
      <c r="P42" s="111"/>
      <c r="S42" s="49"/>
      <c r="T42" s="77"/>
      <c r="V42" s="1231"/>
      <c r="W42" s="1232"/>
      <c r="X42" s="1174"/>
    </row>
    <row r="43" spans="1:24" ht="11.15" customHeight="1">
      <c r="A43" s="13"/>
      <c r="E43" s="207">
        <f>IF($E$44&gt;2023,$E$44-1,"")</f>
        <v>2024</v>
      </c>
      <c r="H43" s="354"/>
      <c r="I43" s="228" t="s">
        <v>25</v>
      </c>
      <c r="J43" s="2"/>
      <c r="M43" s="207" t="s">
        <v>56</v>
      </c>
      <c r="N43" s="247">
        <f>'HAW-Kennwerte'!E29</f>
        <v>81600</v>
      </c>
      <c r="O43" s="49"/>
      <c r="P43" s="111"/>
      <c r="S43" s="49"/>
      <c r="T43" s="77"/>
      <c r="V43" s="1231"/>
      <c r="W43" s="1232"/>
      <c r="X43" s="1174"/>
    </row>
    <row r="44" spans="1:24" ht="11.15" customHeight="1">
      <c r="A44" s="13"/>
      <c r="D44" s="236" t="s">
        <v>184</v>
      </c>
      <c r="E44" s="711">
        <v>2025</v>
      </c>
      <c r="H44" s="354"/>
      <c r="I44" s="228" t="s">
        <v>25</v>
      </c>
      <c r="J44" s="49"/>
      <c r="M44" s="207" t="s">
        <v>119</v>
      </c>
      <c r="N44" s="475"/>
      <c r="O44" s="49"/>
      <c r="P44" s="111"/>
      <c r="S44" s="49"/>
      <c r="T44" s="77"/>
      <c r="V44" s="1231"/>
      <c r="W44" s="1232"/>
      <c r="X44" s="1174"/>
    </row>
    <row r="45" spans="1:24" ht="2.5" customHeight="1">
      <c r="A45" s="13"/>
      <c r="E45" s="2"/>
      <c r="F45" s="2"/>
      <c r="H45" s="2"/>
      <c r="I45" s="2"/>
      <c r="J45" s="49"/>
      <c r="M45" s="2"/>
      <c r="N45" s="2"/>
      <c r="O45" s="49"/>
      <c r="P45" s="111"/>
      <c r="S45" s="49"/>
      <c r="T45" s="77"/>
      <c r="V45" s="1231"/>
      <c r="W45" s="1232"/>
      <c r="X45" s="1174"/>
    </row>
    <row r="46" spans="1:24">
      <c r="A46" s="13"/>
      <c r="E46" s="2"/>
      <c r="F46" s="2"/>
      <c r="G46" s="116" t="s">
        <v>33</v>
      </c>
      <c r="H46" s="354"/>
      <c r="I46" s="2"/>
      <c r="J46" s="49"/>
      <c r="M46" s="116" t="s">
        <v>33</v>
      </c>
      <c r="N46" s="354"/>
      <c r="O46" s="49"/>
      <c r="P46" s="111"/>
      <c r="S46" s="49"/>
      <c r="T46" s="77"/>
      <c r="V46" s="1231"/>
      <c r="W46" s="1232"/>
      <c r="X46" s="1174"/>
    </row>
    <row r="47" spans="1:24" ht="12" customHeight="1">
      <c r="A47" s="13"/>
      <c r="E47" s="2"/>
      <c r="F47" s="2"/>
      <c r="G47" s="2"/>
      <c r="H47" s="54">
        <f>IF(H46=0,(H44*1.02*5+H43*1.04*4+H42*1.06*3+H41*1.08*2+H40*1.1)/15,H46)</f>
        <v>0</v>
      </c>
      <c r="I47" s="2"/>
      <c r="J47" s="49"/>
      <c r="M47" s="2"/>
      <c r="N47" s="54">
        <f>IF(N46&gt;0,N46,'HAW-Kennwerte'!E31)</f>
        <v>81600</v>
      </c>
      <c r="O47" s="49"/>
      <c r="P47" s="111"/>
      <c r="S47" s="49"/>
      <c r="T47" s="77"/>
      <c r="V47" s="1200"/>
      <c r="W47" s="1201"/>
      <c r="X47" s="1202"/>
    </row>
    <row r="48" spans="1:24">
      <c r="A48" s="45"/>
      <c r="B48" s="46"/>
      <c r="C48" s="46"/>
      <c r="D48" s="46"/>
      <c r="E48" s="46"/>
      <c r="F48" s="46"/>
      <c r="G48" s="46"/>
      <c r="H48" s="46"/>
      <c r="I48" s="46"/>
      <c r="J48" s="119"/>
      <c r="K48" s="46"/>
      <c r="L48" s="119"/>
      <c r="M48" s="46"/>
      <c r="N48" s="119"/>
      <c r="O48" s="119"/>
      <c r="P48" s="120"/>
      <c r="S48" s="49"/>
      <c r="T48" s="77"/>
      <c r="V48" s="1231"/>
      <c r="W48" s="1232"/>
      <c r="X48" s="1174"/>
    </row>
    <row r="49" spans="1:24" ht="11.25" customHeight="1">
      <c r="B49" s="117" t="s">
        <v>34</v>
      </c>
      <c r="S49" s="49"/>
      <c r="T49" s="2"/>
      <c r="V49" s="1231"/>
      <c r="W49" s="1232"/>
      <c r="X49" s="1174"/>
    </row>
    <row r="50" spans="1:24">
      <c r="A50" s="2"/>
      <c r="B50" s="106"/>
      <c r="C50" s="209"/>
      <c r="D50" s="106"/>
      <c r="E50" s="106"/>
      <c r="F50" s="106"/>
      <c r="G50" s="106"/>
      <c r="H50" s="106"/>
      <c r="I50" s="106"/>
      <c r="J50" s="106"/>
      <c r="K50" s="107"/>
      <c r="L50" s="106"/>
      <c r="M50" s="107"/>
      <c r="N50" s="106"/>
      <c r="O50" s="107"/>
      <c r="P50" s="107"/>
      <c r="Q50" s="107"/>
      <c r="R50" s="49"/>
      <c r="S50" s="49"/>
      <c r="T50" s="49"/>
      <c r="V50" s="1231"/>
      <c r="W50" s="1232"/>
      <c r="X50" s="1174"/>
    </row>
    <row r="51" spans="1:24">
      <c r="A51" s="2"/>
      <c r="J51" s="1"/>
      <c r="K51" s="42"/>
      <c r="L51" s="1"/>
      <c r="M51" s="42"/>
      <c r="N51" s="1"/>
      <c r="Q51" s="201" t="str">
        <f>HAW!B28</f>
        <v>Kennwertverfahren NRW für HAW; HIS-Institut für Hochschulentwicklung e.V. (24.04.2026)</v>
      </c>
      <c r="R51" s="250"/>
      <c r="S51" s="2"/>
      <c r="T51" s="2"/>
      <c r="V51" s="1231"/>
      <c r="W51" s="1232"/>
      <c r="X51" s="1174"/>
    </row>
    <row r="52" spans="1:24">
      <c r="A52" s="2"/>
      <c r="T52" s="121"/>
      <c r="V52" s="1231"/>
      <c r="W52" s="1232"/>
      <c r="X52" s="1174"/>
    </row>
    <row r="53" spans="1:24">
      <c r="A53" s="2"/>
      <c r="T53" s="121"/>
      <c r="V53" s="1231"/>
      <c r="W53" s="1232"/>
      <c r="X53" s="1174"/>
    </row>
    <row r="54" spans="1:24" ht="10.5">
      <c r="A54" s="2"/>
      <c r="B54" s="368" t="str">
        <f>IF(B8=0,B7,CONCATENATE(B7,B8))</f>
        <v>Hochschule …</v>
      </c>
      <c r="C54" s="369"/>
      <c r="D54" s="369"/>
      <c r="E54" s="369"/>
      <c r="F54" s="369"/>
      <c r="G54" s="369"/>
      <c r="H54" s="369"/>
      <c r="I54" s="369"/>
      <c r="J54" s="370"/>
      <c r="K54" s="369"/>
      <c r="L54" s="370"/>
      <c r="M54" s="369"/>
      <c r="N54" s="370"/>
      <c r="O54" s="370"/>
      <c r="P54" s="370"/>
      <c r="Q54" s="370"/>
      <c r="R54" s="370"/>
      <c r="S54" s="370"/>
      <c r="T54" s="121"/>
      <c r="V54" s="1231"/>
      <c r="W54" s="1232"/>
      <c r="X54" s="1174"/>
    </row>
    <row r="55" spans="1:24">
      <c r="A55" s="2"/>
      <c r="B55" s="369" t="str">
        <f>B9</f>
        <v>[Fakultät/Fachbereich]</v>
      </c>
      <c r="C55" s="369"/>
      <c r="D55" s="369"/>
      <c r="E55" s="369"/>
      <c r="F55" s="369"/>
      <c r="G55" s="369"/>
      <c r="H55" s="369"/>
      <c r="I55" s="369"/>
      <c r="J55" s="370"/>
      <c r="K55" s="369"/>
      <c r="L55" s="370"/>
      <c r="M55" s="369"/>
      <c r="N55" s="370"/>
      <c r="O55" s="370"/>
      <c r="P55" s="370"/>
      <c r="Q55" s="370"/>
      <c r="R55" s="370"/>
      <c r="S55" s="370"/>
      <c r="T55" s="121"/>
      <c r="V55" s="1231"/>
      <c r="W55" s="1232"/>
      <c r="X55" s="1174"/>
    </row>
    <row r="56" spans="1:24">
      <c r="A56" s="2"/>
      <c r="B56" s="369" t="str">
        <f>B10</f>
        <v>[Department, Institut o.a.]</v>
      </c>
      <c r="C56" s="369"/>
      <c r="D56" s="369"/>
      <c r="E56" s="369"/>
      <c r="F56" s="369"/>
      <c r="G56" s="369"/>
      <c r="H56" s="369"/>
      <c r="I56" s="369"/>
      <c r="J56" s="370"/>
      <c r="K56" s="369"/>
      <c r="L56" s="370"/>
      <c r="M56" s="369"/>
      <c r="N56" s="370"/>
      <c r="O56" s="370"/>
      <c r="P56" s="370"/>
      <c r="Q56" s="370"/>
      <c r="R56" s="370"/>
      <c r="S56" s="370"/>
      <c r="T56" s="121"/>
      <c r="V56" s="1231"/>
      <c r="W56" s="1232"/>
      <c r="X56" s="1174"/>
    </row>
    <row r="57" spans="1:24">
      <c r="A57" s="2"/>
      <c r="B57" s="369" t="str">
        <f>CONCATENATE(B12,": ",B13)</f>
        <v>Lehr- und Forschungsbereich: Informatik</v>
      </c>
      <c r="C57" s="369"/>
      <c r="D57" s="369"/>
      <c r="E57" s="369"/>
      <c r="F57" s="369"/>
      <c r="G57" s="369"/>
      <c r="H57" s="369"/>
      <c r="I57" s="369"/>
      <c r="J57" s="370"/>
      <c r="K57" s="369"/>
      <c r="L57" s="370"/>
      <c r="M57" s="369"/>
      <c r="N57" s="370"/>
      <c r="O57" s="370"/>
      <c r="P57" s="370"/>
      <c r="Q57" s="370"/>
      <c r="R57" s="370"/>
      <c r="S57" s="370"/>
      <c r="T57" s="121"/>
      <c r="V57" s="1231"/>
      <c r="W57" s="1232"/>
      <c r="X57" s="1174"/>
    </row>
    <row r="58" spans="1:24">
      <c r="A58" s="2"/>
      <c r="T58" s="121"/>
      <c r="V58" s="1231"/>
      <c r="W58" s="1232"/>
      <c r="X58" s="1174"/>
    </row>
    <row r="59" spans="1:24">
      <c r="A59" s="2"/>
      <c r="B59" s="378" t="s">
        <v>95</v>
      </c>
      <c r="T59" s="121"/>
      <c r="V59" s="1231"/>
      <c r="W59" s="1232"/>
      <c r="X59" s="1174"/>
    </row>
    <row r="60" spans="1:24" s="202" customFormat="1" ht="2.25" customHeight="1">
      <c r="A60" s="110"/>
      <c r="B60" s="909"/>
      <c r="C60" s="910"/>
      <c r="D60" s="910"/>
      <c r="E60" s="910"/>
      <c r="F60" s="910"/>
      <c r="G60" s="910"/>
      <c r="H60" s="910"/>
      <c r="I60" s="910"/>
      <c r="J60" s="544"/>
      <c r="K60" s="910"/>
      <c r="L60" s="544"/>
      <c r="M60" s="910"/>
      <c r="N60" s="544"/>
      <c r="O60" s="544"/>
      <c r="P60" s="544"/>
      <c r="Q60" s="544"/>
      <c r="R60" s="544"/>
      <c r="S60" s="544"/>
      <c r="T60" s="320"/>
      <c r="V60" s="1231"/>
      <c r="W60" s="1232"/>
      <c r="X60" s="1174"/>
    </row>
    <row r="61" spans="1:24" s="202" customFormat="1" ht="10" customHeight="1">
      <c r="A61" s="206"/>
      <c r="B61" s="210"/>
      <c r="C61" s="206"/>
      <c r="D61" s="206"/>
      <c r="E61" s="206"/>
      <c r="F61" s="206"/>
      <c r="G61" s="206"/>
      <c r="H61" s="238"/>
      <c r="I61" s="238"/>
      <c r="J61" s="239"/>
      <c r="K61" s="238"/>
      <c r="L61" s="239"/>
      <c r="M61" s="238"/>
      <c r="N61" s="239"/>
      <c r="O61" s="239"/>
      <c r="P61" s="239"/>
      <c r="Q61" s="208"/>
      <c r="R61" s="208"/>
      <c r="S61" s="1166" t="s">
        <v>60</v>
      </c>
      <c r="T61" s="321"/>
      <c r="V61" s="1231"/>
      <c r="W61" s="1232"/>
      <c r="X61" s="1174"/>
    </row>
    <row r="62" spans="1:24" s="202" customFormat="1" ht="10" customHeight="1">
      <c r="A62" s="206"/>
      <c r="B62" s="210"/>
      <c r="C62" s="206"/>
      <c r="E62" s="206"/>
      <c r="F62" s="206"/>
      <c r="G62" s="206"/>
      <c r="H62" s="240" t="s">
        <v>60</v>
      </c>
      <c r="I62" s="241"/>
      <c r="J62" s="241"/>
      <c r="K62" s="240"/>
      <c r="L62" s="240"/>
      <c r="M62" s="243" t="s">
        <v>61</v>
      </c>
      <c r="N62" s="241"/>
      <c r="O62" s="240"/>
      <c r="P62" s="240"/>
      <c r="Q62" s="240"/>
      <c r="R62" s="240"/>
      <c r="S62" s="1189" t="s">
        <v>857</v>
      </c>
      <c r="T62" s="321"/>
      <c r="V62" s="1231"/>
      <c r="W62" s="1232"/>
      <c r="X62" s="1174"/>
    </row>
    <row r="63" spans="1:24" ht="10.4" customHeight="1">
      <c r="A63" s="2"/>
      <c r="B63" s="235"/>
      <c r="C63" s="204"/>
      <c r="F63" s="2"/>
      <c r="G63" s="2"/>
      <c r="H63" s="49"/>
      <c r="I63" s="2"/>
      <c r="J63" s="2"/>
      <c r="K63" s="49"/>
      <c r="L63" s="1"/>
      <c r="M63" s="244"/>
      <c r="N63" s="2"/>
      <c r="O63" s="49"/>
      <c r="P63" s="1"/>
      <c r="Q63" s="49"/>
      <c r="R63" s="49"/>
      <c r="S63" s="234"/>
      <c r="T63" s="321"/>
      <c r="V63" s="1231"/>
      <c r="W63" s="1232"/>
      <c r="X63" s="1174"/>
    </row>
    <row r="64" spans="1:24" ht="10.5">
      <c r="A64" s="2"/>
      <c r="B64" s="235"/>
      <c r="C64" s="204"/>
      <c r="E64" s="237" t="s">
        <v>66</v>
      </c>
      <c r="F64" s="2"/>
      <c r="G64" s="2"/>
      <c r="H64" s="202" t="s">
        <v>67</v>
      </c>
      <c r="I64" s="2"/>
      <c r="J64" s="2"/>
      <c r="K64" s="49"/>
      <c r="L64" s="1"/>
      <c r="M64" s="245" t="s">
        <v>67</v>
      </c>
      <c r="N64" s="2"/>
      <c r="O64" s="49"/>
      <c r="P64" s="1"/>
      <c r="T64" s="321"/>
      <c r="V64" s="1231"/>
      <c r="W64" s="1232"/>
      <c r="X64" s="1174"/>
    </row>
    <row r="65" spans="1:24" ht="12" customHeight="1">
      <c r="A65" s="2"/>
      <c r="B65" s="210"/>
      <c r="C65" s="206"/>
      <c r="D65" s="236" t="s">
        <v>65</v>
      </c>
      <c r="E65" s="355"/>
      <c r="F65" s="2"/>
      <c r="G65" s="2"/>
      <c r="H65" s="325">
        <f>SUM(H70:H81)</f>
        <v>0</v>
      </c>
      <c r="I65" s="326"/>
      <c r="J65" s="2"/>
      <c r="K65" s="49"/>
      <c r="L65" s="1"/>
      <c r="M65" s="1191">
        <f>SUM(M70:M81)</f>
        <v>0</v>
      </c>
      <c r="N65" s="326"/>
      <c r="O65" s="49"/>
      <c r="P65" s="1"/>
      <c r="S65" s="323">
        <f>H65+M65</f>
        <v>0</v>
      </c>
      <c r="T65" s="321"/>
      <c r="V65" s="1231"/>
      <c r="W65" s="1232"/>
      <c r="X65" s="1174"/>
    </row>
    <row r="66" spans="1:24" ht="12" customHeight="1">
      <c r="A66" s="2"/>
      <c r="B66" s="210"/>
      <c r="C66" s="206"/>
      <c r="D66" s="236" t="s">
        <v>74</v>
      </c>
      <c r="E66" s="356"/>
      <c r="F66" s="2"/>
      <c r="G66" s="2"/>
      <c r="H66" s="338">
        <f>H65*SUM(E65,E66)</f>
        <v>0</v>
      </c>
      <c r="I66" s="327" t="str">
        <f>IF(H66&gt;0,"SWS","")</f>
        <v/>
      </c>
      <c r="J66" s="2"/>
      <c r="K66" s="49"/>
      <c r="L66" s="1"/>
      <c r="M66" s="1192">
        <f>M65*SUM(E65,E66)</f>
        <v>0</v>
      </c>
      <c r="N66" s="327" t="str">
        <f>IF(M66&gt;0,"SWS","")</f>
        <v/>
      </c>
      <c r="O66" s="49"/>
      <c r="P66" s="1"/>
      <c r="S66" s="55">
        <f>SUM(H66,M66)</f>
        <v>0</v>
      </c>
      <c r="T66" s="321"/>
      <c r="V66" s="1231"/>
      <c r="W66" s="1232"/>
      <c r="X66" s="1174"/>
    </row>
    <row r="67" spans="1:24" ht="10.5">
      <c r="A67" s="2"/>
      <c r="B67" s="13"/>
      <c r="C67" s="2"/>
      <c r="D67" s="2"/>
      <c r="E67" s="324">
        <f>SUM(E65:E66)</f>
        <v>0</v>
      </c>
      <c r="F67" s="2"/>
      <c r="G67" s="2"/>
      <c r="H67" s="2"/>
      <c r="I67" s="2"/>
      <c r="J67" s="2"/>
      <c r="K67" s="49"/>
      <c r="L67" s="1"/>
      <c r="M67" s="244"/>
      <c r="N67" s="2"/>
      <c r="O67" s="49"/>
      <c r="P67" s="49"/>
      <c r="Q67" s="49"/>
      <c r="R67" s="49"/>
      <c r="S67" s="49"/>
      <c r="T67" s="321"/>
      <c r="V67" s="1231"/>
      <c r="W67" s="1232"/>
      <c r="X67" s="1174"/>
    </row>
    <row r="68" spans="1:24">
      <c r="A68" s="2"/>
      <c r="B68" s="13"/>
      <c r="C68" s="2"/>
      <c r="D68" s="2"/>
      <c r="F68" s="2"/>
      <c r="G68" s="2"/>
      <c r="H68" s="2"/>
      <c r="I68" s="2"/>
      <c r="J68" s="2"/>
      <c r="K68" s="113" t="s">
        <v>97</v>
      </c>
      <c r="L68" s="1"/>
      <c r="M68" s="244"/>
      <c r="N68" s="2"/>
      <c r="O68" s="49"/>
      <c r="P68" s="113" t="s">
        <v>97</v>
      </c>
      <c r="Q68" s="49"/>
      <c r="R68" s="49"/>
      <c r="S68" s="49"/>
      <c r="T68" s="321"/>
      <c r="V68" s="1231"/>
      <c r="W68" s="1232"/>
      <c r="X68" s="1174"/>
    </row>
    <row r="69" spans="1:24" ht="13.4" customHeight="1">
      <c r="A69" s="2"/>
      <c r="B69" s="13"/>
      <c r="C69" s="2"/>
      <c r="D69" s="2"/>
      <c r="E69" s="114"/>
      <c r="F69" s="2"/>
      <c r="G69" s="2"/>
      <c r="H69" s="113" t="s">
        <v>83</v>
      </c>
      <c r="I69" s="113" t="s">
        <v>31</v>
      </c>
      <c r="J69" s="113" t="s">
        <v>32</v>
      </c>
      <c r="K69" s="113" t="s">
        <v>96</v>
      </c>
      <c r="L69" s="113" t="s">
        <v>94</v>
      </c>
      <c r="M69" s="319" t="s">
        <v>83</v>
      </c>
      <c r="N69" s="113" t="s">
        <v>31</v>
      </c>
      <c r="O69" s="113" t="s">
        <v>32</v>
      </c>
      <c r="P69" s="113" t="s">
        <v>96</v>
      </c>
      <c r="Q69" s="113" t="s">
        <v>94</v>
      </c>
      <c r="R69" s="113"/>
      <c r="S69" s="49"/>
      <c r="T69" s="321"/>
      <c r="V69" s="1231"/>
      <c r="W69" s="1232"/>
      <c r="X69" s="1174"/>
    </row>
    <row r="70" spans="1:24" ht="11.15" customHeight="1">
      <c r="A70" s="2"/>
      <c r="B70" s="13"/>
      <c r="C70" s="2"/>
      <c r="D70" s="725"/>
      <c r="E70" s="725"/>
      <c r="F70" s="731" t="s">
        <v>201</v>
      </c>
      <c r="G70" s="2"/>
      <c r="H70" s="371"/>
      <c r="I70" s="372"/>
      <c r="J70" s="373"/>
      <c r="K70" s="374"/>
      <c r="L70" s="337">
        <f>IFERROR($E$67*H70*I70/J70*K70,0)</f>
        <v>0</v>
      </c>
      <c r="M70" s="376"/>
      <c r="N70" s="372"/>
      <c r="O70" s="373"/>
      <c r="P70" s="374"/>
      <c r="Q70" s="115">
        <f>IFERROR($E$67*M70*N70/O70*P70,0)</f>
        <v>0</v>
      </c>
      <c r="R70" s="342"/>
      <c r="S70" s="49"/>
      <c r="T70" s="321"/>
      <c r="V70" s="1200"/>
      <c r="W70" s="1201"/>
      <c r="X70" s="1202"/>
    </row>
    <row r="71" spans="1:24" ht="11.15" customHeight="1">
      <c r="B71" s="13"/>
      <c r="C71" s="2"/>
      <c r="D71" s="726"/>
      <c r="E71" s="726"/>
      <c r="F71" s="732" t="s">
        <v>202</v>
      </c>
      <c r="G71" s="2"/>
      <c r="H71" s="375"/>
      <c r="I71" s="372"/>
      <c r="J71" s="373"/>
      <c r="K71" s="374"/>
      <c r="L71" s="337">
        <f>IFERROR($E$67*H71*I71/J71*K71,0)</f>
        <v>0</v>
      </c>
      <c r="M71" s="377"/>
      <c r="N71" s="372"/>
      <c r="O71" s="373"/>
      <c r="P71" s="374"/>
      <c r="Q71" s="115">
        <f t="shared" ref="Q71:Q81" si="0">IFERROR($E$67*M71*N71/O71*P71,0)</f>
        <v>0</v>
      </c>
      <c r="R71" s="342"/>
      <c r="S71" s="49"/>
      <c r="T71" s="321"/>
      <c r="V71" s="1200"/>
      <c r="W71" s="1201"/>
      <c r="X71" s="1202"/>
    </row>
    <row r="72" spans="1:24" ht="11.5" customHeight="1">
      <c r="B72" s="13"/>
      <c r="C72" s="2"/>
      <c r="D72" s="726"/>
      <c r="E72" s="726"/>
      <c r="F72" s="732" t="s">
        <v>203</v>
      </c>
      <c r="G72" s="2"/>
      <c r="H72" s="375"/>
      <c r="I72" s="372"/>
      <c r="J72" s="373"/>
      <c r="K72" s="374"/>
      <c r="L72" s="337">
        <f t="shared" ref="L72:L81" si="1">IFERROR($E$67*H72*I72/J72*K72,0)</f>
        <v>0</v>
      </c>
      <c r="M72" s="377"/>
      <c r="N72" s="372"/>
      <c r="O72" s="373"/>
      <c r="P72" s="374"/>
      <c r="Q72" s="115">
        <f t="shared" si="0"/>
        <v>0</v>
      </c>
      <c r="R72" s="342"/>
      <c r="S72" s="49"/>
      <c r="T72" s="321"/>
      <c r="V72" s="1200"/>
      <c r="W72" s="1201"/>
      <c r="X72" s="1202"/>
    </row>
    <row r="73" spans="1:24">
      <c r="B73" s="13"/>
      <c r="C73" s="2"/>
      <c r="D73" s="726"/>
      <c r="E73" s="726"/>
      <c r="F73" s="732"/>
      <c r="G73" s="2"/>
      <c r="H73" s="375"/>
      <c r="I73" s="372"/>
      <c r="J73" s="373"/>
      <c r="K73" s="374"/>
      <c r="L73" s="337">
        <f t="shared" si="1"/>
        <v>0</v>
      </c>
      <c r="M73" s="377"/>
      <c r="N73" s="372"/>
      <c r="O73" s="373"/>
      <c r="P73" s="374"/>
      <c r="Q73" s="115">
        <f t="shared" si="0"/>
        <v>0</v>
      </c>
      <c r="R73" s="342"/>
      <c r="S73" s="49"/>
      <c r="T73" s="321"/>
      <c r="V73" s="1200"/>
      <c r="W73" s="1201"/>
      <c r="X73" s="1202"/>
    </row>
    <row r="74" spans="1:24">
      <c r="B74" s="13"/>
      <c r="C74" s="2"/>
      <c r="D74" s="727"/>
      <c r="E74" s="728"/>
      <c r="F74" s="732"/>
      <c r="G74" s="2"/>
      <c r="H74" s="375"/>
      <c r="I74" s="372"/>
      <c r="J74" s="373"/>
      <c r="K74" s="374"/>
      <c r="L74" s="337">
        <f t="shared" si="1"/>
        <v>0</v>
      </c>
      <c r="M74" s="377"/>
      <c r="N74" s="372"/>
      <c r="O74" s="373"/>
      <c r="P74" s="374"/>
      <c r="Q74" s="115">
        <f t="shared" si="0"/>
        <v>0</v>
      </c>
      <c r="R74" s="342"/>
      <c r="S74" s="49"/>
      <c r="T74" s="321"/>
      <c r="V74" s="1200"/>
      <c r="W74" s="1201"/>
      <c r="X74" s="1202"/>
    </row>
    <row r="75" spans="1:24">
      <c r="B75" s="13"/>
      <c r="C75" s="2"/>
      <c r="D75" s="727"/>
      <c r="E75" s="728"/>
      <c r="F75" s="732"/>
      <c r="G75" s="2"/>
      <c r="H75" s="375"/>
      <c r="I75" s="372"/>
      <c r="J75" s="373"/>
      <c r="K75" s="374"/>
      <c r="L75" s="337">
        <f t="shared" si="1"/>
        <v>0</v>
      </c>
      <c r="M75" s="377"/>
      <c r="N75" s="372"/>
      <c r="O75" s="373"/>
      <c r="P75" s="374"/>
      <c r="Q75" s="115">
        <f t="shared" si="0"/>
        <v>0</v>
      </c>
      <c r="R75" s="342"/>
      <c r="S75" s="49"/>
      <c r="T75" s="321"/>
      <c r="V75" s="1200"/>
      <c r="W75" s="1201"/>
      <c r="X75" s="1202"/>
    </row>
    <row r="76" spans="1:24">
      <c r="B76" s="13"/>
      <c r="C76" s="2"/>
      <c r="D76" s="727"/>
      <c r="E76" s="728"/>
      <c r="F76" s="732"/>
      <c r="G76" s="2"/>
      <c r="H76" s="375"/>
      <c r="I76" s="372"/>
      <c r="J76" s="373"/>
      <c r="K76" s="374"/>
      <c r="L76" s="337">
        <f t="shared" si="1"/>
        <v>0</v>
      </c>
      <c r="M76" s="377"/>
      <c r="N76" s="372"/>
      <c r="O76" s="373"/>
      <c r="P76" s="374"/>
      <c r="Q76" s="115">
        <f t="shared" si="0"/>
        <v>0</v>
      </c>
      <c r="R76" s="342"/>
      <c r="S76" s="49"/>
      <c r="T76" s="321"/>
      <c r="V76" s="1200"/>
      <c r="W76" s="1201"/>
      <c r="X76" s="1202"/>
    </row>
    <row r="77" spans="1:24">
      <c r="B77" s="13"/>
      <c r="C77" s="2"/>
      <c r="D77" s="727"/>
      <c r="E77" s="728"/>
      <c r="F77" s="732"/>
      <c r="G77" s="2"/>
      <c r="H77" s="375"/>
      <c r="I77" s="372"/>
      <c r="J77" s="373"/>
      <c r="K77" s="374"/>
      <c r="L77" s="337">
        <f t="shared" si="1"/>
        <v>0</v>
      </c>
      <c r="M77" s="377"/>
      <c r="N77" s="372"/>
      <c r="O77" s="373"/>
      <c r="P77" s="374"/>
      <c r="Q77" s="115">
        <f t="shared" si="0"/>
        <v>0</v>
      </c>
      <c r="R77" s="342"/>
      <c r="S77" s="49"/>
      <c r="T77" s="321"/>
      <c r="V77" s="1200"/>
      <c r="W77" s="1201"/>
      <c r="X77" s="1202"/>
    </row>
    <row r="78" spans="1:24">
      <c r="B78" s="13"/>
      <c r="C78" s="2"/>
      <c r="D78" s="727"/>
      <c r="E78" s="728"/>
      <c r="F78" s="732"/>
      <c r="G78" s="2"/>
      <c r="H78" s="375"/>
      <c r="I78" s="372"/>
      <c r="J78" s="373"/>
      <c r="K78" s="374"/>
      <c r="L78" s="337">
        <f t="shared" si="1"/>
        <v>0</v>
      </c>
      <c r="M78" s="377"/>
      <c r="N78" s="372"/>
      <c r="O78" s="373"/>
      <c r="P78" s="374"/>
      <c r="Q78" s="115">
        <f t="shared" si="0"/>
        <v>0</v>
      </c>
      <c r="R78" s="342"/>
      <c r="S78" s="49"/>
      <c r="T78" s="321"/>
      <c r="V78" s="1200"/>
      <c r="W78" s="1201"/>
      <c r="X78" s="1202"/>
    </row>
    <row r="79" spans="1:24">
      <c r="B79" s="13"/>
      <c r="C79" s="2"/>
      <c r="D79" s="727"/>
      <c r="E79" s="728"/>
      <c r="F79" s="732"/>
      <c r="G79" s="2"/>
      <c r="H79" s="375"/>
      <c r="I79" s="372"/>
      <c r="J79" s="373"/>
      <c r="K79" s="374"/>
      <c r="L79" s="337">
        <f t="shared" si="1"/>
        <v>0</v>
      </c>
      <c r="M79" s="377"/>
      <c r="N79" s="372"/>
      <c r="O79" s="373"/>
      <c r="P79" s="374"/>
      <c r="Q79" s="115">
        <f t="shared" si="0"/>
        <v>0</v>
      </c>
      <c r="R79" s="342"/>
      <c r="S79" s="49"/>
      <c r="T79" s="321"/>
      <c r="V79" s="1200"/>
      <c r="W79" s="1201"/>
      <c r="X79" s="1202"/>
    </row>
    <row r="80" spans="1:24">
      <c r="B80" s="13"/>
      <c r="C80" s="2"/>
      <c r="D80" s="727"/>
      <c r="E80" s="728"/>
      <c r="F80" s="732"/>
      <c r="G80" s="2"/>
      <c r="H80" s="375"/>
      <c r="I80" s="372"/>
      <c r="J80" s="373"/>
      <c r="K80" s="374"/>
      <c r="L80" s="337">
        <f t="shared" si="1"/>
        <v>0</v>
      </c>
      <c r="M80" s="377"/>
      <c r="N80" s="372"/>
      <c r="O80" s="373"/>
      <c r="P80" s="374"/>
      <c r="Q80" s="115">
        <f t="shared" si="0"/>
        <v>0</v>
      </c>
      <c r="R80" s="342"/>
      <c r="S80" s="49"/>
      <c r="T80" s="321"/>
      <c r="V80" s="1200"/>
      <c r="W80" s="1201"/>
      <c r="X80" s="1202"/>
    </row>
    <row r="81" spans="1:24">
      <c r="B81" s="13"/>
      <c r="C81" s="2"/>
      <c r="D81" s="729"/>
      <c r="E81" s="730"/>
      <c r="F81" s="733"/>
      <c r="G81" s="2"/>
      <c r="H81" s="375"/>
      <c r="I81" s="372"/>
      <c r="J81" s="373"/>
      <c r="K81" s="374"/>
      <c r="L81" s="337">
        <f t="shared" si="1"/>
        <v>0</v>
      </c>
      <c r="M81" s="377"/>
      <c r="N81" s="372"/>
      <c r="O81" s="373"/>
      <c r="P81" s="374"/>
      <c r="Q81" s="115">
        <f t="shared" si="0"/>
        <v>0</v>
      </c>
      <c r="R81" s="342"/>
      <c r="S81" s="49"/>
      <c r="T81" s="321"/>
      <c r="V81" s="1200"/>
      <c r="W81" s="1201"/>
      <c r="X81" s="1202"/>
    </row>
    <row r="82" spans="1:24">
      <c r="B82" s="13"/>
      <c r="C82" s="2"/>
      <c r="D82" s="2"/>
      <c r="E82" s="2"/>
      <c r="F82" s="2"/>
      <c r="G82" s="2"/>
      <c r="H82" s="49"/>
      <c r="I82" s="2"/>
      <c r="J82" s="49"/>
      <c r="L82" s="49"/>
      <c r="M82" s="335"/>
      <c r="N82" s="49"/>
      <c r="O82" s="49"/>
      <c r="P82" s="49"/>
      <c r="Q82" s="49"/>
      <c r="R82" s="49"/>
      <c r="S82" s="208" t="s">
        <v>99</v>
      </c>
      <c r="T82" s="321"/>
      <c r="V82" s="1231"/>
      <c r="W82" s="1232"/>
      <c r="X82" s="1174"/>
    </row>
    <row r="83" spans="1:24" ht="12" customHeight="1">
      <c r="B83" s="13"/>
      <c r="C83" s="2"/>
      <c r="D83" s="236" t="s">
        <v>182</v>
      </c>
      <c r="E83" s="2"/>
      <c r="F83" s="2"/>
      <c r="G83" s="2"/>
      <c r="H83" s="49"/>
      <c r="I83" s="2"/>
      <c r="K83" s="116" t="s">
        <v>196</v>
      </c>
      <c r="L83" s="357"/>
      <c r="M83" s="336"/>
      <c r="N83" s="1"/>
      <c r="O83" s="1"/>
      <c r="P83" s="116" t="s">
        <v>196</v>
      </c>
      <c r="Q83" s="358"/>
      <c r="R83" s="343"/>
      <c r="S83" s="208" t="s">
        <v>98</v>
      </c>
      <c r="T83" s="321"/>
      <c r="V83" s="1231"/>
      <c r="W83" s="1232"/>
      <c r="X83" s="1174"/>
    </row>
    <row r="84" spans="1:24" ht="12" customHeight="1">
      <c r="B84" s="13"/>
      <c r="C84" s="2"/>
      <c r="D84" s="236" t="s">
        <v>183</v>
      </c>
      <c r="E84" s="350"/>
      <c r="F84" s="2"/>
      <c r="G84" s="2"/>
      <c r="H84" s="49"/>
      <c r="I84" s="2"/>
      <c r="J84" s="49"/>
      <c r="K84" s="435" t="s">
        <v>26</v>
      </c>
      <c r="L84" s="334">
        <f>IF(L83=0,SUM(L70:L81),L83)</f>
        <v>0</v>
      </c>
      <c r="M84" s="336"/>
      <c r="N84" s="1"/>
      <c r="O84" s="1"/>
      <c r="P84" s="435" t="s">
        <v>26</v>
      </c>
      <c r="Q84" s="118">
        <f>IF(Q83=0,SUM(Q70:Q81),Q83)</f>
        <v>0</v>
      </c>
      <c r="R84" s="344"/>
      <c r="S84" s="118">
        <f>L84+Q84*'HAW-Kennwerte'!$R$30</f>
        <v>0</v>
      </c>
      <c r="T84" s="321"/>
      <c r="V84" s="1200"/>
      <c r="W84" s="1201"/>
      <c r="X84" s="1202"/>
    </row>
    <row r="85" spans="1:24" ht="10.5">
      <c r="B85" s="13"/>
      <c r="C85" s="2"/>
      <c r="D85" s="2"/>
      <c r="E85" s="2"/>
      <c r="F85" s="2"/>
      <c r="G85" s="2"/>
      <c r="H85" s="49"/>
      <c r="I85" s="2"/>
      <c r="J85" s="49"/>
      <c r="K85" s="242"/>
      <c r="L85" s="2"/>
      <c r="M85" s="336"/>
      <c r="N85" s="1"/>
      <c r="O85" s="1"/>
      <c r="P85" s="49"/>
      <c r="Q85" s="242"/>
      <c r="R85" s="242"/>
      <c r="S85" s="242"/>
      <c r="T85" s="321"/>
      <c r="V85" s="1231"/>
      <c r="W85" s="1232"/>
      <c r="X85" s="1174"/>
    </row>
    <row r="86" spans="1:24" ht="12" customHeight="1">
      <c r="B86" s="13"/>
      <c r="C86" s="2"/>
      <c r="D86" s="716" t="s">
        <v>194</v>
      </c>
      <c r="E86" s="479" t="s">
        <v>195</v>
      </c>
      <c r="F86" s="2"/>
      <c r="G86" s="2"/>
      <c r="I86" s="2"/>
      <c r="J86" s="208"/>
      <c r="K86" s="242"/>
      <c r="L86" s="204"/>
      <c r="M86" s="204"/>
      <c r="N86" s="203"/>
      <c r="O86" s="203"/>
      <c r="P86" s="791"/>
      <c r="Q86" s="202"/>
      <c r="R86" s="607"/>
      <c r="S86" s="607"/>
      <c r="T86" s="321"/>
      <c r="V86" s="1231"/>
      <c r="W86" s="1232"/>
      <c r="X86" s="1174"/>
    </row>
    <row r="87" spans="1:24" ht="12" customHeight="1">
      <c r="B87" s="13"/>
      <c r="C87" s="2"/>
      <c r="D87" s="2"/>
      <c r="E87" s="2"/>
      <c r="F87" s="2"/>
      <c r="G87" s="2"/>
      <c r="H87" s="49"/>
      <c r="I87" s="2"/>
      <c r="J87" s="202"/>
      <c r="K87" s="206">
        <f>IF($Q$87&gt;2023,$Q$87-6,"")</f>
        <v>2019</v>
      </c>
      <c r="L87" s="206">
        <f>IF($Q$87&gt;2023,$Q$87-5,"")</f>
        <v>2020</v>
      </c>
      <c r="M87" s="206">
        <f>IF($Q$87&gt;2023,$Q$87-4,"")</f>
        <v>2021</v>
      </c>
      <c r="N87" s="206">
        <f>IF($Q$87&gt;2023,$Q$87-3,"")</f>
        <v>2022</v>
      </c>
      <c r="O87" s="206">
        <f>IF($Q$87&gt;2023,$Q$87-2,"")</f>
        <v>2023</v>
      </c>
      <c r="P87" s="206">
        <f>IF($Q$87&gt;2023,$Q$87-1,"")</f>
        <v>2024</v>
      </c>
      <c r="Q87" s="711">
        <v>2025</v>
      </c>
      <c r="R87" s="50"/>
      <c r="S87" s="202"/>
      <c r="T87" s="321"/>
      <c r="V87" s="1231"/>
      <c r="W87" s="1232"/>
      <c r="X87" s="1174"/>
    </row>
    <row r="88" spans="1:24" ht="12" customHeight="1">
      <c r="B88" s="13"/>
      <c r="C88" s="2"/>
      <c r="D88" s="2"/>
      <c r="E88" s="2"/>
      <c r="F88" s="2"/>
      <c r="G88" s="2"/>
      <c r="H88" s="49"/>
      <c r="I88" s="2"/>
      <c r="J88" s="435" t="s">
        <v>245</v>
      </c>
      <c r="K88" s="792"/>
      <c r="L88" s="792"/>
      <c r="M88" s="792"/>
      <c r="N88" s="792"/>
      <c r="O88" s="792"/>
      <c r="P88" s="792"/>
      <c r="Q88" s="792"/>
      <c r="R88" s="50"/>
      <c r="S88" s="744">
        <f>IF(S89&gt;0,IF(S89&gt;1,0,S89),IFERROR(IF((K88*3+L88*4+M88*5+N88*6+O88*7+P88*8+Q88*9)/42&gt;1,1,(K88*3+L88*4+M88*5+N88*6+O88*7+P88*8+Q88*9)/42),""))</f>
        <v>0</v>
      </c>
      <c r="T88" s="321"/>
      <c r="V88" s="1233"/>
      <c r="W88" s="1234"/>
      <c r="X88" s="1235"/>
    </row>
    <row r="89" spans="1:24" ht="12" customHeight="1">
      <c r="B89" s="13"/>
      <c r="C89" s="2"/>
      <c r="D89" s="2"/>
      <c r="E89" s="2"/>
      <c r="F89" s="2"/>
      <c r="G89" s="2"/>
      <c r="H89" s="49"/>
      <c r="I89" s="2"/>
      <c r="J89" s="208"/>
      <c r="K89" s="743" t="s">
        <v>246</v>
      </c>
      <c r="L89" s="203"/>
      <c r="M89" s="203"/>
      <c r="N89" s="203"/>
      <c r="O89" s="203"/>
      <c r="P89" s="607"/>
      <c r="Q89" s="202"/>
      <c r="R89" s="50"/>
      <c r="S89" s="1188"/>
      <c r="T89" s="321"/>
    </row>
    <row r="90" spans="1:24">
      <c r="B90" s="211"/>
      <c r="C90" s="46"/>
      <c r="D90" s="46"/>
      <c r="E90" s="46"/>
      <c r="F90" s="46"/>
      <c r="G90" s="46"/>
      <c r="H90" s="46"/>
      <c r="I90" s="46"/>
      <c r="J90" s="119"/>
      <c r="K90" s="46"/>
      <c r="L90" s="119"/>
      <c r="M90" s="46"/>
      <c r="N90" s="119"/>
      <c r="O90" s="230"/>
      <c r="P90" s="119"/>
      <c r="Q90" s="119"/>
      <c r="R90" s="119"/>
      <c r="S90" s="119"/>
      <c r="T90" s="322"/>
    </row>
    <row r="91" spans="1:24">
      <c r="B91" s="12" t="s">
        <v>100</v>
      </c>
      <c r="H91" s="2"/>
      <c r="I91" s="2"/>
      <c r="J91" s="49"/>
      <c r="K91" s="2"/>
      <c r="L91" s="49"/>
      <c r="M91" s="2"/>
      <c r="N91" s="49"/>
      <c r="O91" s="49"/>
      <c r="P91" s="49"/>
      <c r="Q91" s="49"/>
      <c r="R91" s="49"/>
      <c r="S91" s="49"/>
      <c r="T91" s="121"/>
    </row>
    <row r="92" spans="1:24">
      <c r="A92" s="106"/>
      <c r="B92" s="209" t="s">
        <v>68</v>
      </c>
      <c r="C92" s="106"/>
      <c r="D92" s="106"/>
      <c r="E92" s="106"/>
      <c r="F92" s="106"/>
      <c r="G92" s="106"/>
      <c r="H92" s="106"/>
      <c r="I92" s="106"/>
      <c r="J92" s="107"/>
      <c r="K92" s="106"/>
      <c r="L92" s="107"/>
      <c r="M92" s="106"/>
      <c r="N92" s="107"/>
      <c r="O92" s="107"/>
      <c r="P92" s="107"/>
      <c r="Q92" s="107"/>
      <c r="R92" s="107"/>
      <c r="S92" s="107"/>
      <c r="T92" s="107"/>
    </row>
    <row r="93" spans="1:24">
      <c r="Q93" s="201"/>
      <c r="R93" s="201"/>
      <c r="S93" s="201" t="str">
        <f>HAW!B28</f>
        <v>Kennwertverfahren NRW für HAW; HIS-Institut für Hochschulentwicklung e.V. (24.04.2026)</v>
      </c>
      <c r="T93" s="201"/>
    </row>
    <row r="95" spans="1:24">
      <c r="B95" s="229"/>
      <c r="C95" s="202"/>
    </row>
    <row r="96" spans="1:24" ht="10.5">
      <c r="B96" s="794" t="str">
        <f>IF(B8=0,B7,CONCATENATE(B7,B8))</f>
        <v>Hochschule …</v>
      </c>
      <c r="C96" s="795"/>
      <c r="D96" s="795"/>
      <c r="E96" s="795"/>
      <c r="F96" s="795"/>
      <c r="G96" s="795"/>
      <c r="H96" s="795"/>
      <c r="I96" s="795"/>
      <c r="J96" s="796"/>
      <c r="K96" s="795"/>
      <c r="L96" s="796"/>
      <c r="M96" s="795"/>
      <c r="N96" s="796"/>
      <c r="O96" s="796"/>
      <c r="P96" s="796"/>
      <c r="Q96" s="796"/>
      <c r="R96" s="796"/>
      <c r="S96" s="796"/>
    </row>
    <row r="97" spans="2:19">
      <c r="B97" s="795" t="str">
        <f>B9</f>
        <v>[Fakultät/Fachbereich]</v>
      </c>
      <c r="C97" s="795"/>
      <c r="D97" s="795"/>
      <c r="E97" s="795"/>
      <c r="F97" s="795"/>
      <c r="G97" s="795"/>
      <c r="H97" s="795"/>
      <c r="I97" s="795"/>
      <c r="J97" s="796"/>
      <c r="K97" s="795"/>
      <c r="L97" s="796"/>
      <c r="M97" s="795"/>
      <c r="N97" s="796"/>
      <c r="O97" s="796"/>
      <c r="P97" s="796"/>
      <c r="Q97" s="796"/>
      <c r="R97" s="796"/>
      <c r="S97" s="796"/>
    </row>
    <row r="98" spans="2:19">
      <c r="B98" s="795" t="str">
        <f>B10</f>
        <v>[Department, Institut o.a.]</v>
      </c>
      <c r="C98" s="795"/>
      <c r="D98" s="795"/>
      <c r="E98" s="795"/>
      <c r="F98" s="795"/>
      <c r="G98" s="795"/>
      <c r="H98" s="795"/>
      <c r="I98" s="795"/>
      <c r="J98" s="796"/>
      <c r="K98" s="795"/>
      <c r="L98" s="796"/>
      <c r="M98" s="795"/>
      <c r="N98" s="796"/>
      <c r="O98" s="796"/>
      <c r="P98" s="796"/>
      <c r="Q98" s="796"/>
      <c r="R98" s="796"/>
      <c r="S98" s="796"/>
    </row>
    <row r="99" spans="2:19">
      <c r="B99" s="795" t="str">
        <f>CONCATENATE(B12,": ",B13)</f>
        <v>Lehr- und Forschungsbereich: Informatik</v>
      </c>
      <c r="C99" s="795"/>
      <c r="D99" s="795"/>
      <c r="E99" s="795"/>
      <c r="F99" s="795"/>
      <c r="G99" s="795"/>
      <c r="H99" s="795"/>
      <c r="I99" s="795"/>
      <c r="J99" s="796"/>
      <c r="K99" s="795"/>
      <c r="L99" s="796"/>
      <c r="M99" s="795"/>
      <c r="N99" s="796"/>
      <c r="O99" s="796"/>
      <c r="P99" s="796"/>
      <c r="Q99" s="796"/>
      <c r="R99" s="796"/>
      <c r="S99" s="796"/>
    </row>
    <row r="100" spans="2:19">
      <c r="B100" s="202"/>
      <c r="C100" s="202"/>
      <c r="D100" s="202"/>
      <c r="E100" s="202"/>
      <c r="F100" s="202"/>
      <c r="G100" s="202"/>
      <c r="H100" s="202"/>
      <c r="I100" s="202"/>
      <c r="J100" s="607"/>
      <c r="K100" s="202"/>
      <c r="L100" s="607"/>
      <c r="M100" s="202"/>
      <c r="N100" s="607"/>
      <c r="O100" s="607"/>
      <c r="P100" s="607"/>
      <c r="Q100" s="607"/>
      <c r="R100" s="607"/>
      <c r="S100" s="607"/>
    </row>
    <row r="101" spans="2:19">
      <c r="B101" s="110" t="s">
        <v>235</v>
      </c>
      <c r="C101" s="206"/>
      <c r="D101" s="206"/>
      <c r="E101" s="206"/>
      <c r="F101" s="206"/>
      <c r="G101" s="206"/>
      <c r="H101" s="206"/>
      <c r="I101" s="206"/>
      <c r="J101" s="208"/>
      <c r="K101" s="206"/>
      <c r="L101" s="208"/>
      <c r="M101" s="206"/>
      <c r="N101" s="208"/>
      <c r="O101" s="208"/>
      <c r="P101" s="208"/>
      <c r="Q101" s="208"/>
      <c r="R101" s="208"/>
      <c r="S101" s="208"/>
    </row>
    <row r="102" spans="2:19">
      <c r="B102" s="909"/>
      <c r="C102" s="910"/>
      <c r="D102" s="910"/>
      <c r="E102" s="910"/>
      <c r="F102" s="910"/>
      <c r="G102" s="910"/>
      <c r="H102" s="910"/>
      <c r="I102" s="910"/>
      <c r="J102" s="544"/>
      <c r="K102" s="910"/>
      <c r="L102" s="544"/>
      <c r="M102" s="910"/>
      <c r="N102" s="544"/>
      <c r="O102" s="544"/>
      <c r="P102" s="544"/>
      <c r="Q102" s="544"/>
      <c r="R102" s="544"/>
      <c r="S102" s="1173"/>
    </row>
    <row r="103" spans="2:19" ht="10.5">
      <c r="B103" s="210"/>
      <c r="C103" s="206"/>
      <c r="D103" s="206"/>
      <c r="E103" s="206"/>
      <c r="F103" s="206"/>
      <c r="G103" s="1166" t="s">
        <v>249</v>
      </c>
      <c r="H103" s="797">
        <f>SUM(H107:H156)</f>
        <v>0</v>
      </c>
      <c r="I103" s="206"/>
      <c r="J103" s="208"/>
      <c r="K103" s="206"/>
      <c r="L103" s="208"/>
      <c r="M103" s="206"/>
      <c r="N103" s="208"/>
      <c r="O103" s="1166" t="s">
        <v>265</v>
      </c>
      <c r="P103" s="1353">
        <f>SUMPRODUCT(H107:H156,P107:P156)+SUMPRODUCT(H107:H156,Q107:Q156)</f>
        <v>0</v>
      </c>
      <c r="Q103" s="1354"/>
      <c r="R103" s="208"/>
      <c r="S103" s="1174"/>
    </row>
    <row r="104" spans="2:19">
      <c r="B104" s="210"/>
      <c r="C104" s="206"/>
      <c r="D104" s="206"/>
      <c r="E104" s="206"/>
      <c r="F104" s="206"/>
      <c r="G104" s="207"/>
      <c r="H104" s="798"/>
      <c r="I104" s="206"/>
      <c r="J104" s="208"/>
      <c r="K104" s="206"/>
      <c r="L104" s="208"/>
      <c r="M104" s="206"/>
      <c r="N104" s="208"/>
      <c r="O104" s="207"/>
      <c r="P104" s="799" t="str">
        <f>IF($P103=0,"",SUMPRODUCT($H107:$H156,P107:P156)/$P103)</f>
        <v/>
      </c>
      <c r="Q104" s="799" t="str">
        <f>IF($P103=0,"",SUMPRODUCT($H107:$H156,Q107:Q156)/$P103)</f>
        <v/>
      </c>
      <c r="R104" s="208"/>
      <c r="S104" s="1174"/>
    </row>
    <row r="105" spans="2:19" ht="10.5">
      <c r="B105" s="210"/>
      <c r="C105" s="206"/>
      <c r="D105" s="206"/>
      <c r="E105" s="206"/>
      <c r="F105" s="206"/>
      <c r="G105" s="206"/>
      <c r="H105" s="206"/>
      <c r="I105" s="206"/>
      <c r="J105" s="208"/>
      <c r="K105" s="206"/>
      <c r="L105" s="208"/>
      <c r="M105" s="206"/>
      <c r="N105" s="208"/>
      <c r="O105" s="208"/>
      <c r="P105" s="1355"/>
      <c r="Q105" s="1355"/>
      <c r="R105" s="208"/>
      <c r="S105" s="1174"/>
    </row>
    <row r="106" spans="2:19" ht="10.5">
      <c r="B106" s="1175" t="s">
        <v>250</v>
      </c>
      <c r="C106" s="800" t="s">
        <v>251</v>
      </c>
      <c r="D106" s="238"/>
      <c r="E106" s="238"/>
      <c r="F106" s="238"/>
      <c r="G106" s="238"/>
      <c r="H106" s="239" t="s">
        <v>252</v>
      </c>
      <c r="I106" s="238" t="s">
        <v>253</v>
      </c>
      <c r="J106" s="238"/>
      <c r="K106" s="239"/>
      <c r="L106" s="238"/>
      <c r="M106" s="239"/>
      <c r="N106" s="208"/>
      <c r="O106" s="801" t="s">
        <v>88</v>
      </c>
      <c r="P106" s="239" t="s">
        <v>84</v>
      </c>
      <c r="Q106" s="239" t="s">
        <v>85</v>
      </c>
      <c r="R106" s="208"/>
      <c r="S106" s="1174"/>
    </row>
    <row r="107" spans="2:19">
      <c r="B107" s="210" t="str">
        <f>IF(COUNTA(C107)=1,1,"")</f>
        <v/>
      </c>
      <c r="C107" s="802"/>
      <c r="D107" s="803"/>
      <c r="E107" s="803"/>
      <c r="F107" s="803"/>
      <c r="G107" s="803"/>
      <c r="H107" s="804"/>
      <c r="I107" s="802"/>
      <c r="J107" s="803"/>
      <c r="K107" s="803"/>
      <c r="L107" s="803"/>
      <c r="M107" s="803"/>
      <c r="N107" s="803"/>
      <c r="O107" s="805"/>
      <c r="P107" s="806"/>
      <c r="Q107" s="806"/>
      <c r="R107" s="807">
        <f>SUM(O107:Q107)</f>
        <v>0</v>
      </c>
      <c r="S107" s="1174"/>
    </row>
    <row r="108" spans="2:19">
      <c r="B108" s="210" t="str">
        <f>IF(COUNTA(C108)=1,MAX(B$107:B107)+1,"")</f>
        <v/>
      </c>
      <c r="C108" s="808"/>
      <c r="D108" s="809"/>
      <c r="E108" s="809"/>
      <c r="F108" s="809"/>
      <c r="G108" s="809"/>
      <c r="H108" s="810"/>
      <c r="I108" s="808"/>
      <c r="J108" s="809"/>
      <c r="K108" s="809"/>
      <c r="L108" s="809"/>
      <c r="M108" s="809"/>
      <c r="N108" s="809"/>
      <c r="O108" s="811"/>
      <c r="P108" s="812"/>
      <c r="Q108" s="812"/>
      <c r="R108" s="807">
        <f t="shared" ref="R108:R156" si="2">SUM(O108:Q108)</f>
        <v>0</v>
      </c>
      <c r="S108" s="1174"/>
    </row>
    <row r="109" spans="2:19">
      <c r="B109" s="210" t="str">
        <f>IF(COUNTA(C109)=1,MAX(B$107:B108)+1,"")</f>
        <v/>
      </c>
      <c r="C109" s="808"/>
      <c r="D109" s="809"/>
      <c r="E109" s="809"/>
      <c r="F109" s="809"/>
      <c r="G109" s="809"/>
      <c r="H109" s="810"/>
      <c r="I109" s="808"/>
      <c r="J109" s="809"/>
      <c r="K109" s="809"/>
      <c r="L109" s="809"/>
      <c r="M109" s="809"/>
      <c r="N109" s="809"/>
      <c r="O109" s="811"/>
      <c r="P109" s="812"/>
      <c r="Q109" s="812"/>
      <c r="R109" s="807">
        <f t="shared" si="2"/>
        <v>0</v>
      </c>
      <c r="S109" s="1174"/>
    </row>
    <row r="110" spans="2:19">
      <c r="B110" s="210" t="str">
        <f>IF(COUNTA(C110)=1,MAX(B$107:B109)+1,"")</f>
        <v/>
      </c>
      <c r="C110" s="808"/>
      <c r="D110" s="809"/>
      <c r="E110" s="809"/>
      <c r="F110" s="809"/>
      <c r="G110" s="809"/>
      <c r="H110" s="810"/>
      <c r="I110" s="808"/>
      <c r="J110" s="809"/>
      <c r="K110" s="809"/>
      <c r="L110" s="809"/>
      <c r="M110" s="809"/>
      <c r="N110" s="809"/>
      <c r="O110" s="811"/>
      <c r="P110" s="812"/>
      <c r="Q110" s="812"/>
      <c r="R110" s="807">
        <f t="shared" si="2"/>
        <v>0</v>
      </c>
      <c r="S110" s="1174"/>
    </row>
    <row r="111" spans="2:19">
      <c r="B111" s="210" t="str">
        <f>IF(COUNTA(C111)=1,MAX(B$107:B110)+1,"")</f>
        <v/>
      </c>
      <c r="C111" s="808"/>
      <c r="D111" s="809"/>
      <c r="E111" s="809"/>
      <c r="F111" s="809"/>
      <c r="G111" s="809"/>
      <c r="H111" s="810"/>
      <c r="I111" s="808"/>
      <c r="J111" s="809"/>
      <c r="K111" s="809"/>
      <c r="L111" s="809"/>
      <c r="M111" s="809"/>
      <c r="N111" s="809"/>
      <c r="O111" s="811"/>
      <c r="P111" s="812"/>
      <c r="Q111" s="812"/>
      <c r="R111" s="807">
        <f t="shared" si="2"/>
        <v>0</v>
      </c>
      <c r="S111" s="1174"/>
    </row>
    <row r="112" spans="2:19">
      <c r="B112" s="210" t="str">
        <f>IF(COUNTA(C112)=1,MAX(B$107:B111)+1,"")</f>
        <v/>
      </c>
      <c r="C112" s="808"/>
      <c r="D112" s="809"/>
      <c r="E112" s="809"/>
      <c r="F112" s="809"/>
      <c r="G112" s="809"/>
      <c r="H112" s="810"/>
      <c r="I112" s="808"/>
      <c r="J112" s="809"/>
      <c r="K112" s="809"/>
      <c r="L112" s="809"/>
      <c r="M112" s="809"/>
      <c r="N112" s="809"/>
      <c r="O112" s="811"/>
      <c r="P112" s="812"/>
      <c r="Q112" s="812"/>
      <c r="R112" s="807">
        <f t="shared" si="2"/>
        <v>0</v>
      </c>
      <c r="S112" s="1174"/>
    </row>
    <row r="113" spans="2:19">
      <c r="B113" s="210" t="str">
        <f>IF(COUNTA(C113)=1,MAX(B$107:B112)+1,"")</f>
        <v/>
      </c>
      <c r="C113" s="808"/>
      <c r="D113" s="809"/>
      <c r="E113" s="809"/>
      <c r="F113" s="809"/>
      <c r="G113" s="809"/>
      <c r="H113" s="810"/>
      <c r="I113" s="808"/>
      <c r="J113" s="809"/>
      <c r="K113" s="809"/>
      <c r="L113" s="809"/>
      <c r="M113" s="809"/>
      <c r="N113" s="809"/>
      <c r="O113" s="811"/>
      <c r="P113" s="812"/>
      <c r="Q113" s="812"/>
      <c r="R113" s="807">
        <f t="shared" si="2"/>
        <v>0</v>
      </c>
      <c r="S113" s="1174"/>
    </row>
    <row r="114" spans="2:19">
      <c r="B114" s="210" t="str">
        <f>IF(COUNTA(C114)=1,MAX(B$107:B113)+1,"")</f>
        <v/>
      </c>
      <c r="C114" s="808"/>
      <c r="D114" s="809"/>
      <c r="E114" s="809"/>
      <c r="F114" s="809"/>
      <c r="G114" s="809"/>
      <c r="H114" s="810"/>
      <c r="I114" s="808"/>
      <c r="J114" s="809"/>
      <c r="K114" s="809"/>
      <c r="L114" s="809"/>
      <c r="M114" s="809"/>
      <c r="N114" s="809"/>
      <c r="O114" s="811"/>
      <c r="P114" s="812"/>
      <c r="Q114" s="812"/>
      <c r="R114" s="807">
        <f t="shared" si="2"/>
        <v>0</v>
      </c>
      <c r="S114" s="1174"/>
    </row>
    <row r="115" spans="2:19">
      <c r="B115" s="210" t="str">
        <f>IF(COUNTA(C115)=1,MAX(B$107:B114)+1,"")</f>
        <v/>
      </c>
      <c r="C115" s="808"/>
      <c r="D115" s="809"/>
      <c r="E115" s="809"/>
      <c r="F115" s="809"/>
      <c r="G115" s="809"/>
      <c r="H115" s="810"/>
      <c r="I115" s="808"/>
      <c r="J115" s="809"/>
      <c r="K115" s="809"/>
      <c r="L115" s="809"/>
      <c r="M115" s="809"/>
      <c r="N115" s="809"/>
      <c r="O115" s="811"/>
      <c r="P115" s="812"/>
      <c r="Q115" s="812"/>
      <c r="R115" s="807">
        <f t="shared" si="2"/>
        <v>0</v>
      </c>
      <c r="S115" s="1174"/>
    </row>
    <row r="116" spans="2:19">
      <c r="B116" s="210" t="str">
        <f>IF(COUNTA(C116)=1,MAX(B$107:B115)+1,"")</f>
        <v/>
      </c>
      <c r="C116" s="808"/>
      <c r="D116" s="809"/>
      <c r="E116" s="809"/>
      <c r="F116" s="809"/>
      <c r="G116" s="809"/>
      <c r="H116" s="810"/>
      <c r="I116" s="808"/>
      <c r="J116" s="809"/>
      <c r="K116" s="809"/>
      <c r="L116" s="809"/>
      <c r="M116" s="809"/>
      <c r="N116" s="809"/>
      <c r="O116" s="811"/>
      <c r="P116" s="812"/>
      <c r="Q116" s="812"/>
      <c r="R116" s="807">
        <f t="shared" si="2"/>
        <v>0</v>
      </c>
      <c r="S116" s="1174"/>
    </row>
    <row r="117" spans="2:19">
      <c r="B117" s="210" t="str">
        <f>IF(COUNTA(C117)=1,MAX(B$107:B116)+1,"")</f>
        <v/>
      </c>
      <c r="C117" s="808"/>
      <c r="D117" s="809"/>
      <c r="E117" s="809"/>
      <c r="F117" s="809"/>
      <c r="G117" s="809"/>
      <c r="H117" s="810"/>
      <c r="I117" s="808"/>
      <c r="J117" s="809"/>
      <c r="K117" s="809"/>
      <c r="L117" s="809"/>
      <c r="M117" s="809"/>
      <c r="N117" s="809"/>
      <c r="O117" s="811"/>
      <c r="P117" s="812"/>
      <c r="Q117" s="812"/>
      <c r="R117" s="807">
        <f t="shared" si="2"/>
        <v>0</v>
      </c>
      <c r="S117" s="1174"/>
    </row>
    <row r="118" spans="2:19">
      <c r="B118" s="210" t="str">
        <f>IF(COUNTA(C118)=1,MAX(B$107:B117)+1,"")</f>
        <v/>
      </c>
      <c r="C118" s="808"/>
      <c r="D118" s="809"/>
      <c r="E118" s="809"/>
      <c r="F118" s="809"/>
      <c r="G118" s="809"/>
      <c r="H118" s="810"/>
      <c r="I118" s="808"/>
      <c r="J118" s="809"/>
      <c r="K118" s="809"/>
      <c r="L118" s="809"/>
      <c r="M118" s="809"/>
      <c r="N118" s="809"/>
      <c r="O118" s="811"/>
      <c r="P118" s="812"/>
      <c r="Q118" s="812"/>
      <c r="R118" s="807">
        <f t="shared" si="2"/>
        <v>0</v>
      </c>
      <c r="S118" s="1174"/>
    </row>
    <row r="119" spans="2:19">
      <c r="B119" s="210" t="str">
        <f>IF(COUNTA(C119)=1,MAX(B$107:B118)+1,"")</f>
        <v/>
      </c>
      <c r="C119" s="808"/>
      <c r="D119" s="809"/>
      <c r="E119" s="809"/>
      <c r="F119" s="809"/>
      <c r="G119" s="809"/>
      <c r="H119" s="810"/>
      <c r="I119" s="808"/>
      <c r="J119" s="809"/>
      <c r="K119" s="809"/>
      <c r="L119" s="809"/>
      <c r="M119" s="809"/>
      <c r="N119" s="809"/>
      <c r="O119" s="811"/>
      <c r="P119" s="812"/>
      <c r="Q119" s="812"/>
      <c r="R119" s="807">
        <f t="shared" si="2"/>
        <v>0</v>
      </c>
      <c r="S119" s="1174"/>
    </row>
    <row r="120" spans="2:19">
      <c r="B120" s="210" t="str">
        <f>IF(COUNTA(C120)=1,MAX(B$107:B119)+1,"")</f>
        <v/>
      </c>
      <c r="C120" s="808"/>
      <c r="D120" s="809"/>
      <c r="E120" s="809"/>
      <c r="F120" s="809"/>
      <c r="G120" s="809"/>
      <c r="H120" s="810"/>
      <c r="I120" s="808"/>
      <c r="J120" s="809"/>
      <c r="K120" s="809"/>
      <c r="L120" s="809"/>
      <c r="M120" s="809"/>
      <c r="N120" s="809"/>
      <c r="O120" s="811"/>
      <c r="P120" s="812"/>
      <c r="Q120" s="812"/>
      <c r="R120" s="807">
        <f t="shared" si="2"/>
        <v>0</v>
      </c>
      <c r="S120" s="1174"/>
    </row>
    <row r="121" spans="2:19">
      <c r="B121" s="210" t="str">
        <f>IF(COUNTA(C121)=1,MAX(B$107:B120)+1,"")</f>
        <v/>
      </c>
      <c r="C121" s="808"/>
      <c r="D121" s="809"/>
      <c r="E121" s="809"/>
      <c r="F121" s="809"/>
      <c r="G121" s="809"/>
      <c r="H121" s="810"/>
      <c r="I121" s="808"/>
      <c r="J121" s="809"/>
      <c r="K121" s="809"/>
      <c r="L121" s="809"/>
      <c r="M121" s="809"/>
      <c r="N121" s="809"/>
      <c r="O121" s="811"/>
      <c r="P121" s="812"/>
      <c r="Q121" s="812"/>
      <c r="R121" s="807">
        <f t="shared" si="2"/>
        <v>0</v>
      </c>
      <c r="S121" s="1174"/>
    </row>
    <row r="122" spans="2:19">
      <c r="B122" s="210" t="str">
        <f>IF(COUNTA(C122)=1,MAX(B$107:B121)+1,"")</f>
        <v/>
      </c>
      <c r="C122" s="808"/>
      <c r="D122" s="809"/>
      <c r="E122" s="809"/>
      <c r="F122" s="809"/>
      <c r="G122" s="809"/>
      <c r="H122" s="810"/>
      <c r="I122" s="808"/>
      <c r="J122" s="809"/>
      <c r="K122" s="809"/>
      <c r="L122" s="809"/>
      <c r="M122" s="809"/>
      <c r="N122" s="809"/>
      <c r="O122" s="811"/>
      <c r="P122" s="812"/>
      <c r="Q122" s="812"/>
      <c r="R122" s="807">
        <f t="shared" si="2"/>
        <v>0</v>
      </c>
      <c r="S122" s="1174"/>
    </row>
    <row r="123" spans="2:19">
      <c r="B123" s="210" t="str">
        <f>IF(COUNTA(C123)=1,MAX(B$107:B122)+1,"")</f>
        <v/>
      </c>
      <c r="C123" s="808"/>
      <c r="D123" s="809"/>
      <c r="E123" s="809"/>
      <c r="F123" s="809"/>
      <c r="G123" s="809"/>
      <c r="H123" s="810"/>
      <c r="I123" s="808"/>
      <c r="J123" s="809"/>
      <c r="K123" s="809"/>
      <c r="L123" s="809"/>
      <c r="M123" s="809"/>
      <c r="N123" s="809"/>
      <c r="O123" s="811"/>
      <c r="P123" s="812"/>
      <c r="Q123" s="812"/>
      <c r="R123" s="807">
        <f t="shared" si="2"/>
        <v>0</v>
      </c>
      <c r="S123" s="1174"/>
    </row>
    <row r="124" spans="2:19">
      <c r="B124" s="210" t="str">
        <f>IF(COUNTA(C124)=1,MAX(B$107:B123)+1,"")</f>
        <v/>
      </c>
      <c r="C124" s="808"/>
      <c r="D124" s="809"/>
      <c r="E124" s="809"/>
      <c r="F124" s="809"/>
      <c r="G124" s="809"/>
      <c r="H124" s="810"/>
      <c r="I124" s="808"/>
      <c r="J124" s="809"/>
      <c r="K124" s="809"/>
      <c r="L124" s="809"/>
      <c r="M124" s="809"/>
      <c r="N124" s="809"/>
      <c r="O124" s="811"/>
      <c r="P124" s="812"/>
      <c r="Q124" s="812"/>
      <c r="R124" s="807">
        <f t="shared" si="2"/>
        <v>0</v>
      </c>
      <c r="S124" s="1174"/>
    </row>
    <row r="125" spans="2:19">
      <c r="B125" s="210" t="str">
        <f>IF(COUNTA(C125)=1,MAX(B$107:B124)+1,"")</f>
        <v/>
      </c>
      <c r="C125" s="808"/>
      <c r="D125" s="809"/>
      <c r="E125" s="809"/>
      <c r="F125" s="809"/>
      <c r="G125" s="809"/>
      <c r="H125" s="810"/>
      <c r="I125" s="808"/>
      <c r="J125" s="809"/>
      <c r="K125" s="809"/>
      <c r="L125" s="809"/>
      <c r="M125" s="809"/>
      <c r="N125" s="809"/>
      <c r="O125" s="811"/>
      <c r="P125" s="812"/>
      <c r="Q125" s="812"/>
      <c r="R125" s="807">
        <f t="shared" si="2"/>
        <v>0</v>
      </c>
      <c r="S125" s="1174"/>
    </row>
    <row r="126" spans="2:19">
      <c r="B126" s="210" t="str">
        <f>IF(COUNTA(C126)=1,MAX(B$107:B125)+1,"")</f>
        <v/>
      </c>
      <c r="C126" s="808"/>
      <c r="D126" s="809"/>
      <c r="E126" s="809"/>
      <c r="F126" s="809"/>
      <c r="G126" s="809"/>
      <c r="H126" s="810"/>
      <c r="I126" s="808"/>
      <c r="J126" s="809"/>
      <c r="K126" s="809"/>
      <c r="L126" s="809"/>
      <c r="M126" s="809"/>
      <c r="N126" s="809"/>
      <c r="O126" s="811"/>
      <c r="P126" s="812"/>
      <c r="Q126" s="812"/>
      <c r="R126" s="807">
        <f t="shared" si="2"/>
        <v>0</v>
      </c>
      <c r="S126" s="1174"/>
    </row>
    <row r="127" spans="2:19">
      <c r="B127" s="210" t="str">
        <f>IF(COUNTA(C127)=1,MAX(B$107:B126)+1,"")</f>
        <v/>
      </c>
      <c r="C127" s="808"/>
      <c r="D127" s="809"/>
      <c r="E127" s="809"/>
      <c r="F127" s="809"/>
      <c r="G127" s="809"/>
      <c r="H127" s="810"/>
      <c r="I127" s="808"/>
      <c r="J127" s="809"/>
      <c r="K127" s="809"/>
      <c r="L127" s="809"/>
      <c r="M127" s="809"/>
      <c r="N127" s="809"/>
      <c r="O127" s="811"/>
      <c r="P127" s="812"/>
      <c r="Q127" s="812"/>
      <c r="R127" s="807">
        <f t="shared" si="2"/>
        <v>0</v>
      </c>
      <c r="S127" s="1174"/>
    </row>
    <row r="128" spans="2:19">
      <c r="B128" s="210" t="str">
        <f>IF(COUNTA(C128)=1,MAX(B$107:B127)+1,"")</f>
        <v/>
      </c>
      <c r="C128" s="808"/>
      <c r="D128" s="809"/>
      <c r="E128" s="809"/>
      <c r="F128" s="809"/>
      <c r="G128" s="809"/>
      <c r="H128" s="810"/>
      <c r="I128" s="808"/>
      <c r="J128" s="809"/>
      <c r="K128" s="809"/>
      <c r="L128" s="809"/>
      <c r="M128" s="809"/>
      <c r="N128" s="809"/>
      <c r="O128" s="811"/>
      <c r="P128" s="812"/>
      <c r="Q128" s="812"/>
      <c r="R128" s="807">
        <f t="shared" si="2"/>
        <v>0</v>
      </c>
      <c r="S128" s="1174"/>
    </row>
    <row r="129" spans="2:19">
      <c r="B129" s="210" t="str">
        <f>IF(COUNTA(C129)=1,MAX(B$107:B128)+1,"")</f>
        <v/>
      </c>
      <c r="C129" s="808"/>
      <c r="D129" s="809"/>
      <c r="E129" s="809"/>
      <c r="F129" s="809"/>
      <c r="G129" s="809"/>
      <c r="H129" s="810"/>
      <c r="I129" s="808"/>
      <c r="J129" s="809"/>
      <c r="K129" s="809"/>
      <c r="L129" s="809"/>
      <c r="M129" s="809"/>
      <c r="N129" s="809"/>
      <c r="O129" s="811"/>
      <c r="P129" s="812"/>
      <c r="Q129" s="812"/>
      <c r="R129" s="807">
        <f t="shared" si="2"/>
        <v>0</v>
      </c>
      <c r="S129" s="1174"/>
    </row>
    <row r="130" spans="2:19">
      <c r="B130" s="210" t="str">
        <f>IF(COUNTA(C130)=1,MAX(B$107:B129)+1,"")</f>
        <v/>
      </c>
      <c r="C130" s="808"/>
      <c r="D130" s="809"/>
      <c r="E130" s="809"/>
      <c r="F130" s="809"/>
      <c r="G130" s="809"/>
      <c r="H130" s="810"/>
      <c r="I130" s="808"/>
      <c r="J130" s="809"/>
      <c r="K130" s="809"/>
      <c r="L130" s="809"/>
      <c r="M130" s="809"/>
      <c r="N130" s="809"/>
      <c r="O130" s="811"/>
      <c r="P130" s="812"/>
      <c r="Q130" s="812"/>
      <c r="R130" s="807">
        <f t="shared" si="2"/>
        <v>0</v>
      </c>
      <c r="S130" s="1174"/>
    </row>
    <row r="131" spans="2:19">
      <c r="B131" s="210" t="str">
        <f>IF(COUNTA(C131)=1,MAX(B$107:B130)+1,"")</f>
        <v/>
      </c>
      <c r="C131" s="808"/>
      <c r="D131" s="809"/>
      <c r="E131" s="809"/>
      <c r="F131" s="809"/>
      <c r="G131" s="809"/>
      <c r="H131" s="810"/>
      <c r="I131" s="808"/>
      <c r="J131" s="809"/>
      <c r="K131" s="809"/>
      <c r="L131" s="809"/>
      <c r="M131" s="809"/>
      <c r="N131" s="809"/>
      <c r="O131" s="811"/>
      <c r="P131" s="812"/>
      <c r="Q131" s="812"/>
      <c r="R131" s="807">
        <f t="shared" si="2"/>
        <v>0</v>
      </c>
      <c r="S131" s="1174"/>
    </row>
    <row r="132" spans="2:19">
      <c r="B132" s="210" t="str">
        <f>IF(COUNTA(C132)=1,MAX(B$107:B131)+1,"")</f>
        <v/>
      </c>
      <c r="C132" s="808"/>
      <c r="D132" s="809"/>
      <c r="E132" s="809"/>
      <c r="F132" s="809"/>
      <c r="G132" s="809"/>
      <c r="H132" s="810"/>
      <c r="I132" s="808"/>
      <c r="J132" s="809"/>
      <c r="K132" s="809"/>
      <c r="L132" s="809"/>
      <c r="M132" s="809"/>
      <c r="N132" s="809"/>
      <c r="O132" s="811"/>
      <c r="P132" s="812"/>
      <c r="Q132" s="812"/>
      <c r="R132" s="807">
        <f t="shared" si="2"/>
        <v>0</v>
      </c>
      <c r="S132" s="1174"/>
    </row>
    <row r="133" spans="2:19">
      <c r="B133" s="210" t="str">
        <f>IF(COUNTA(C133)=1,MAX(B$107:B132)+1,"")</f>
        <v/>
      </c>
      <c r="C133" s="808"/>
      <c r="D133" s="809"/>
      <c r="E133" s="809"/>
      <c r="F133" s="809"/>
      <c r="G133" s="809"/>
      <c r="H133" s="810"/>
      <c r="I133" s="808"/>
      <c r="J133" s="809"/>
      <c r="K133" s="809"/>
      <c r="L133" s="809"/>
      <c r="M133" s="809"/>
      <c r="N133" s="809"/>
      <c r="O133" s="811"/>
      <c r="P133" s="812"/>
      <c r="Q133" s="812"/>
      <c r="R133" s="807">
        <f t="shared" si="2"/>
        <v>0</v>
      </c>
      <c r="S133" s="1174"/>
    </row>
    <row r="134" spans="2:19">
      <c r="B134" s="210" t="str">
        <f>IF(COUNTA(C134)=1,MAX(B$107:B133)+1,"")</f>
        <v/>
      </c>
      <c r="C134" s="808"/>
      <c r="D134" s="809"/>
      <c r="E134" s="809"/>
      <c r="F134" s="809"/>
      <c r="G134" s="809"/>
      <c r="H134" s="810"/>
      <c r="I134" s="808"/>
      <c r="J134" s="809"/>
      <c r="K134" s="809"/>
      <c r="L134" s="809"/>
      <c r="M134" s="809"/>
      <c r="N134" s="809"/>
      <c r="O134" s="811"/>
      <c r="P134" s="812"/>
      <c r="Q134" s="812"/>
      <c r="R134" s="807">
        <f t="shared" si="2"/>
        <v>0</v>
      </c>
      <c r="S134" s="1174"/>
    </row>
    <row r="135" spans="2:19">
      <c r="B135" s="210" t="str">
        <f>IF(COUNTA(C135)=1,MAX(B$107:B134)+1,"")</f>
        <v/>
      </c>
      <c r="C135" s="808"/>
      <c r="D135" s="809"/>
      <c r="E135" s="809"/>
      <c r="F135" s="809"/>
      <c r="G135" s="809"/>
      <c r="H135" s="810"/>
      <c r="I135" s="808"/>
      <c r="J135" s="809"/>
      <c r="K135" s="809"/>
      <c r="L135" s="809"/>
      <c r="M135" s="809"/>
      <c r="N135" s="809"/>
      <c r="O135" s="811"/>
      <c r="P135" s="812"/>
      <c r="Q135" s="812"/>
      <c r="R135" s="807">
        <f t="shared" si="2"/>
        <v>0</v>
      </c>
      <c r="S135" s="1174"/>
    </row>
    <row r="136" spans="2:19">
      <c r="B136" s="210" t="str">
        <f>IF(COUNTA(C136)=1,MAX(B$107:B135)+1,"")</f>
        <v/>
      </c>
      <c r="C136" s="808"/>
      <c r="D136" s="809"/>
      <c r="E136" s="809"/>
      <c r="F136" s="809"/>
      <c r="G136" s="809"/>
      <c r="H136" s="810"/>
      <c r="I136" s="808"/>
      <c r="J136" s="809"/>
      <c r="K136" s="809"/>
      <c r="L136" s="809"/>
      <c r="M136" s="809"/>
      <c r="N136" s="809"/>
      <c r="O136" s="811"/>
      <c r="P136" s="812"/>
      <c r="Q136" s="812"/>
      <c r="R136" s="807">
        <f t="shared" si="2"/>
        <v>0</v>
      </c>
      <c r="S136" s="1174"/>
    </row>
    <row r="137" spans="2:19">
      <c r="B137" s="210" t="str">
        <f>IF(COUNTA(C137)=1,MAX(B$107:B136)+1,"")</f>
        <v/>
      </c>
      <c r="C137" s="808"/>
      <c r="D137" s="809"/>
      <c r="E137" s="809"/>
      <c r="F137" s="809"/>
      <c r="G137" s="809"/>
      <c r="H137" s="810"/>
      <c r="I137" s="808"/>
      <c r="J137" s="809"/>
      <c r="K137" s="809"/>
      <c r="L137" s="809"/>
      <c r="M137" s="809"/>
      <c r="N137" s="809"/>
      <c r="O137" s="811"/>
      <c r="P137" s="812"/>
      <c r="Q137" s="812"/>
      <c r="R137" s="807">
        <f t="shared" si="2"/>
        <v>0</v>
      </c>
      <c r="S137" s="1174"/>
    </row>
    <row r="138" spans="2:19">
      <c r="B138" s="210" t="str">
        <f>IF(COUNTA(C138)=1,MAX(B$107:B137)+1,"")</f>
        <v/>
      </c>
      <c r="C138" s="808"/>
      <c r="D138" s="809"/>
      <c r="E138" s="809"/>
      <c r="F138" s="809"/>
      <c r="G138" s="809"/>
      <c r="H138" s="810"/>
      <c r="I138" s="808"/>
      <c r="J138" s="809"/>
      <c r="K138" s="809"/>
      <c r="L138" s="809"/>
      <c r="M138" s="809"/>
      <c r="N138" s="809"/>
      <c r="O138" s="811">
        <v>0</v>
      </c>
      <c r="P138" s="812"/>
      <c r="Q138" s="812">
        <v>0</v>
      </c>
      <c r="R138" s="807">
        <f t="shared" si="2"/>
        <v>0</v>
      </c>
      <c r="S138" s="1174"/>
    </row>
    <row r="139" spans="2:19">
      <c r="B139" s="210" t="str">
        <f>IF(COUNTA(C139)=1,MAX(B$107:B138)+1,"")</f>
        <v/>
      </c>
      <c r="C139" s="808"/>
      <c r="D139" s="809"/>
      <c r="E139" s="809"/>
      <c r="F139" s="809"/>
      <c r="G139" s="809"/>
      <c r="H139" s="810"/>
      <c r="I139" s="808"/>
      <c r="J139" s="809"/>
      <c r="K139" s="809"/>
      <c r="L139" s="809"/>
      <c r="M139" s="809"/>
      <c r="N139" s="809"/>
      <c r="O139" s="811">
        <v>0</v>
      </c>
      <c r="P139" s="812"/>
      <c r="Q139" s="812">
        <v>0</v>
      </c>
      <c r="R139" s="807">
        <f t="shared" si="2"/>
        <v>0</v>
      </c>
      <c r="S139" s="1174"/>
    </row>
    <row r="140" spans="2:19">
      <c r="B140" s="210" t="str">
        <f>IF(COUNTA(C140)=1,MAX(B$107:B139)+1,"")</f>
        <v/>
      </c>
      <c r="C140" s="808"/>
      <c r="D140" s="809"/>
      <c r="E140" s="809"/>
      <c r="F140" s="809"/>
      <c r="G140" s="809"/>
      <c r="H140" s="810"/>
      <c r="I140" s="808"/>
      <c r="J140" s="809"/>
      <c r="K140" s="809"/>
      <c r="L140" s="809"/>
      <c r="M140" s="809"/>
      <c r="N140" s="809"/>
      <c r="O140" s="811">
        <v>0</v>
      </c>
      <c r="P140" s="812"/>
      <c r="Q140" s="812">
        <v>0</v>
      </c>
      <c r="R140" s="807">
        <f t="shared" si="2"/>
        <v>0</v>
      </c>
      <c r="S140" s="1174"/>
    </row>
    <row r="141" spans="2:19">
      <c r="B141" s="210" t="str">
        <f>IF(COUNTA(C141)=1,MAX(B$107:B140)+1,"")</f>
        <v/>
      </c>
      <c r="C141" s="808"/>
      <c r="D141" s="809"/>
      <c r="E141" s="809"/>
      <c r="F141" s="809"/>
      <c r="G141" s="809"/>
      <c r="H141" s="810"/>
      <c r="I141" s="808"/>
      <c r="J141" s="809"/>
      <c r="K141" s="809"/>
      <c r="L141" s="809"/>
      <c r="M141" s="809"/>
      <c r="N141" s="809"/>
      <c r="O141" s="811">
        <v>0</v>
      </c>
      <c r="P141" s="812"/>
      <c r="Q141" s="812">
        <v>0</v>
      </c>
      <c r="R141" s="807">
        <f t="shared" si="2"/>
        <v>0</v>
      </c>
      <c r="S141" s="1174"/>
    </row>
    <row r="142" spans="2:19">
      <c r="B142" s="210" t="str">
        <f>IF(COUNTA(C142)=1,MAX(B$107:B141)+1,"")</f>
        <v/>
      </c>
      <c r="C142" s="808"/>
      <c r="D142" s="809"/>
      <c r="E142" s="809"/>
      <c r="F142" s="809"/>
      <c r="G142" s="809"/>
      <c r="H142" s="810"/>
      <c r="I142" s="808"/>
      <c r="J142" s="809"/>
      <c r="K142" s="809"/>
      <c r="L142" s="809"/>
      <c r="M142" s="809"/>
      <c r="N142" s="809"/>
      <c r="O142" s="811">
        <v>0</v>
      </c>
      <c r="P142" s="812"/>
      <c r="Q142" s="812">
        <v>0</v>
      </c>
      <c r="R142" s="807">
        <f t="shared" si="2"/>
        <v>0</v>
      </c>
      <c r="S142" s="1174"/>
    </row>
    <row r="143" spans="2:19">
      <c r="B143" s="210" t="str">
        <f>IF(COUNTA(C143)=1,MAX(B$107:B142)+1,"")</f>
        <v/>
      </c>
      <c r="C143" s="808"/>
      <c r="D143" s="809"/>
      <c r="E143" s="809"/>
      <c r="F143" s="809"/>
      <c r="G143" s="809"/>
      <c r="H143" s="810"/>
      <c r="I143" s="808"/>
      <c r="J143" s="809"/>
      <c r="K143" s="809"/>
      <c r="L143" s="809"/>
      <c r="M143" s="809"/>
      <c r="N143" s="809"/>
      <c r="O143" s="811">
        <v>0</v>
      </c>
      <c r="P143" s="812"/>
      <c r="Q143" s="812">
        <v>0</v>
      </c>
      <c r="R143" s="807">
        <f t="shared" si="2"/>
        <v>0</v>
      </c>
      <c r="S143" s="1174"/>
    </row>
    <row r="144" spans="2:19">
      <c r="B144" s="210" t="str">
        <f>IF(COUNTA(C144)=1,MAX(B$107:B143)+1,"")</f>
        <v/>
      </c>
      <c r="C144" s="808"/>
      <c r="D144" s="809"/>
      <c r="E144" s="809"/>
      <c r="F144" s="809"/>
      <c r="G144" s="809"/>
      <c r="H144" s="810"/>
      <c r="I144" s="808"/>
      <c r="J144" s="809"/>
      <c r="K144" s="809"/>
      <c r="L144" s="809"/>
      <c r="M144" s="809"/>
      <c r="N144" s="809"/>
      <c r="O144" s="811">
        <v>0</v>
      </c>
      <c r="P144" s="812"/>
      <c r="Q144" s="812">
        <v>0</v>
      </c>
      <c r="R144" s="807">
        <f t="shared" si="2"/>
        <v>0</v>
      </c>
      <c r="S144" s="1174"/>
    </row>
    <row r="145" spans="2:19">
      <c r="B145" s="210" t="str">
        <f>IF(COUNTA(C145)=1,MAX(B$107:B144)+1,"")</f>
        <v/>
      </c>
      <c r="C145" s="808"/>
      <c r="D145" s="809"/>
      <c r="E145" s="809"/>
      <c r="F145" s="809"/>
      <c r="G145" s="809"/>
      <c r="H145" s="810"/>
      <c r="I145" s="808"/>
      <c r="J145" s="809"/>
      <c r="K145" s="809"/>
      <c r="L145" s="809"/>
      <c r="M145" s="809"/>
      <c r="N145" s="809"/>
      <c r="O145" s="811">
        <v>0</v>
      </c>
      <c r="P145" s="812"/>
      <c r="Q145" s="812">
        <v>0</v>
      </c>
      <c r="R145" s="807">
        <f t="shared" si="2"/>
        <v>0</v>
      </c>
      <c r="S145" s="1174"/>
    </row>
    <row r="146" spans="2:19">
      <c r="B146" s="210" t="str">
        <f>IF(COUNTA(C146)=1,MAX(B$107:B145)+1,"")</f>
        <v/>
      </c>
      <c r="C146" s="808"/>
      <c r="D146" s="809"/>
      <c r="E146" s="809"/>
      <c r="F146" s="809"/>
      <c r="G146" s="809"/>
      <c r="H146" s="810"/>
      <c r="I146" s="808"/>
      <c r="J146" s="809"/>
      <c r="K146" s="809"/>
      <c r="L146" s="809"/>
      <c r="M146" s="809"/>
      <c r="N146" s="809"/>
      <c r="O146" s="811">
        <v>0</v>
      </c>
      <c r="P146" s="812"/>
      <c r="Q146" s="812">
        <v>0</v>
      </c>
      <c r="R146" s="807">
        <f t="shared" si="2"/>
        <v>0</v>
      </c>
      <c r="S146" s="1174"/>
    </row>
    <row r="147" spans="2:19">
      <c r="B147" s="210" t="str">
        <f>IF(COUNTA(C147)=1,MAX(B$107:B146)+1,"")</f>
        <v/>
      </c>
      <c r="C147" s="808"/>
      <c r="D147" s="809"/>
      <c r="E147" s="809"/>
      <c r="F147" s="809"/>
      <c r="G147" s="809"/>
      <c r="H147" s="810"/>
      <c r="I147" s="808"/>
      <c r="J147" s="809"/>
      <c r="K147" s="809"/>
      <c r="L147" s="809"/>
      <c r="M147" s="809"/>
      <c r="N147" s="809"/>
      <c r="O147" s="811">
        <v>0</v>
      </c>
      <c r="P147" s="812"/>
      <c r="Q147" s="812">
        <v>0</v>
      </c>
      <c r="R147" s="807">
        <f t="shared" si="2"/>
        <v>0</v>
      </c>
      <c r="S147" s="1174"/>
    </row>
    <row r="148" spans="2:19">
      <c r="B148" s="210" t="str">
        <f>IF(COUNTA(C148)=1,MAX(B$107:B147)+1,"")</f>
        <v/>
      </c>
      <c r="C148" s="808"/>
      <c r="D148" s="809"/>
      <c r="E148" s="809"/>
      <c r="F148" s="809"/>
      <c r="G148" s="809"/>
      <c r="H148" s="810"/>
      <c r="I148" s="808"/>
      <c r="J148" s="809"/>
      <c r="K148" s="809"/>
      <c r="L148" s="809"/>
      <c r="M148" s="809"/>
      <c r="N148" s="809"/>
      <c r="O148" s="811">
        <v>0</v>
      </c>
      <c r="P148" s="812"/>
      <c r="Q148" s="812">
        <v>0</v>
      </c>
      <c r="R148" s="807">
        <f t="shared" si="2"/>
        <v>0</v>
      </c>
      <c r="S148" s="1174"/>
    </row>
    <row r="149" spans="2:19">
      <c r="B149" s="210" t="str">
        <f>IF(COUNTA(C149)=1,MAX(B$107:B148)+1,"")</f>
        <v/>
      </c>
      <c r="C149" s="808"/>
      <c r="D149" s="809"/>
      <c r="E149" s="809"/>
      <c r="F149" s="809"/>
      <c r="G149" s="809"/>
      <c r="H149" s="810"/>
      <c r="I149" s="808"/>
      <c r="J149" s="809"/>
      <c r="K149" s="809"/>
      <c r="L149" s="809"/>
      <c r="M149" s="809"/>
      <c r="N149" s="809"/>
      <c r="O149" s="811">
        <v>0</v>
      </c>
      <c r="P149" s="812"/>
      <c r="Q149" s="812">
        <v>0</v>
      </c>
      <c r="R149" s="807">
        <f t="shared" si="2"/>
        <v>0</v>
      </c>
      <c r="S149" s="1174"/>
    </row>
    <row r="150" spans="2:19">
      <c r="B150" s="210" t="str">
        <f>IF(COUNTA(C150)=1,MAX(B$107:B149)+1,"")</f>
        <v/>
      </c>
      <c r="C150" s="808"/>
      <c r="D150" s="809"/>
      <c r="E150" s="809"/>
      <c r="F150" s="809"/>
      <c r="G150" s="809"/>
      <c r="H150" s="810"/>
      <c r="I150" s="808"/>
      <c r="J150" s="809"/>
      <c r="K150" s="809"/>
      <c r="L150" s="809"/>
      <c r="M150" s="809"/>
      <c r="N150" s="809"/>
      <c r="O150" s="811">
        <v>0</v>
      </c>
      <c r="P150" s="812"/>
      <c r="Q150" s="812">
        <v>0</v>
      </c>
      <c r="R150" s="807">
        <f t="shared" si="2"/>
        <v>0</v>
      </c>
      <c r="S150" s="1174"/>
    </row>
    <row r="151" spans="2:19">
      <c r="B151" s="210" t="str">
        <f>IF(COUNTA(C151)=1,MAX(B$107:B150)+1,"")</f>
        <v/>
      </c>
      <c r="C151" s="808"/>
      <c r="D151" s="809"/>
      <c r="E151" s="809"/>
      <c r="F151" s="809"/>
      <c r="G151" s="809"/>
      <c r="H151" s="810"/>
      <c r="I151" s="808"/>
      <c r="J151" s="809"/>
      <c r="K151" s="809"/>
      <c r="L151" s="809"/>
      <c r="M151" s="809"/>
      <c r="N151" s="809"/>
      <c r="O151" s="811">
        <v>0</v>
      </c>
      <c r="P151" s="812"/>
      <c r="Q151" s="812">
        <v>0</v>
      </c>
      <c r="R151" s="807">
        <f t="shared" si="2"/>
        <v>0</v>
      </c>
      <c r="S151" s="1174"/>
    </row>
    <row r="152" spans="2:19">
      <c r="B152" s="210" t="str">
        <f>IF(COUNTA(C152)=1,MAX(B$107:B151)+1,"")</f>
        <v/>
      </c>
      <c r="C152" s="808"/>
      <c r="D152" s="809"/>
      <c r="E152" s="809"/>
      <c r="F152" s="809"/>
      <c r="G152" s="809"/>
      <c r="H152" s="810"/>
      <c r="I152" s="808"/>
      <c r="J152" s="809"/>
      <c r="K152" s="809"/>
      <c r="L152" s="809"/>
      <c r="M152" s="809"/>
      <c r="N152" s="809"/>
      <c r="O152" s="811">
        <v>0</v>
      </c>
      <c r="P152" s="812"/>
      <c r="Q152" s="812">
        <v>0</v>
      </c>
      <c r="R152" s="807">
        <f t="shared" si="2"/>
        <v>0</v>
      </c>
      <c r="S152" s="1174"/>
    </row>
    <row r="153" spans="2:19">
      <c r="B153" s="210" t="str">
        <f>IF(COUNTA(C153)=1,MAX(B$107:B152)+1,"")</f>
        <v/>
      </c>
      <c r="C153" s="808"/>
      <c r="D153" s="809"/>
      <c r="E153" s="809"/>
      <c r="F153" s="809"/>
      <c r="G153" s="809"/>
      <c r="H153" s="810"/>
      <c r="I153" s="808"/>
      <c r="J153" s="809"/>
      <c r="K153" s="809"/>
      <c r="L153" s="809"/>
      <c r="M153" s="809"/>
      <c r="N153" s="809"/>
      <c r="O153" s="811">
        <v>0</v>
      </c>
      <c r="P153" s="812"/>
      <c r="Q153" s="812">
        <v>0</v>
      </c>
      <c r="R153" s="807">
        <f t="shared" si="2"/>
        <v>0</v>
      </c>
      <c r="S153" s="1174"/>
    </row>
    <row r="154" spans="2:19">
      <c r="B154" s="210" t="str">
        <f>IF(COUNTA(C154)=1,MAX(B$107:B153)+1,"")</f>
        <v/>
      </c>
      <c r="C154" s="808"/>
      <c r="D154" s="809"/>
      <c r="E154" s="809"/>
      <c r="F154" s="809"/>
      <c r="G154" s="809"/>
      <c r="H154" s="810"/>
      <c r="I154" s="808"/>
      <c r="J154" s="809"/>
      <c r="K154" s="809"/>
      <c r="L154" s="809"/>
      <c r="M154" s="809"/>
      <c r="N154" s="809"/>
      <c r="O154" s="811">
        <v>0</v>
      </c>
      <c r="P154" s="812"/>
      <c r="Q154" s="812">
        <v>0</v>
      </c>
      <c r="R154" s="807">
        <f t="shared" si="2"/>
        <v>0</v>
      </c>
      <c r="S154" s="1174"/>
    </row>
    <row r="155" spans="2:19">
      <c r="B155" s="210" t="str">
        <f>IF(COUNTA(C155)=1,MAX(B$107:B154)+1,"")</f>
        <v/>
      </c>
      <c r="C155" s="808"/>
      <c r="D155" s="809"/>
      <c r="E155" s="809"/>
      <c r="F155" s="809"/>
      <c r="G155" s="809"/>
      <c r="H155" s="810"/>
      <c r="I155" s="808"/>
      <c r="J155" s="809"/>
      <c r="K155" s="809"/>
      <c r="L155" s="809"/>
      <c r="M155" s="809"/>
      <c r="N155" s="809"/>
      <c r="O155" s="811">
        <v>0</v>
      </c>
      <c r="P155" s="812"/>
      <c r="Q155" s="812">
        <v>0</v>
      </c>
      <c r="R155" s="807">
        <f t="shared" si="2"/>
        <v>0</v>
      </c>
      <c r="S155" s="1174"/>
    </row>
    <row r="156" spans="2:19">
      <c r="B156" s="210" t="str">
        <f>IF(COUNTA(C156)=1,MAX(B$107:B155)+1,"")</f>
        <v/>
      </c>
      <c r="C156" s="808"/>
      <c r="D156" s="809"/>
      <c r="E156" s="809"/>
      <c r="F156" s="809"/>
      <c r="G156" s="809"/>
      <c r="H156" s="810"/>
      <c r="I156" s="808"/>
      <c r="J156" s="809"/>
      <c r="K156" s="809"/>
      <c r="L156" s="809"/>
      <c r="M156" s="809"/>
      <c r="N156" s="809"/>
      <c r="O156" s="811">
        <v>0</v>
      </c>
      <c r="P156" s="812"/>
      <c r="Q156" s="812">
        <v>0</v>
      </c>
      <c r="R156" s="807">
        <f t="shared" si="2"/>
        <v>0</v>
      </c>
      <c r="S156" s="1174"/>
    </row>
  </sheetData>
  <sheetProtection algorithmName="SHA-512" hashValue="gya79GimCAB35wRgjUmUtE2Cn0MTdU34hjhTM0LVjmSRYVp7Lamuf7daq410xV7h/rAVhw4SXniSoXhYDhjeJQ==" saltValue="Slf7Rs3PXbwI0dlfg3AVag==" spinCount="100000" sheet="1" selectLockedCells="1"/>
  <mergeCells count="11">
    <mergeCell ref="P103:Q103"/>
    <mergeCell ref="P105:Q105"/>
    <mergeCell ref="D27:E27"/>
    <mergeCell ref="D28:E28"/>
    <mergeCell ref="J30:O30"/>
    <mergeCell ref="Q1:Q2"/>
    <mergeCell ref="L1:L2"/>
    <mergeCell ref="M1:M2"/>
    <mergeCell ref="N1:N2"/>
    <mergeCell ref="O1:O2"/>
    <mergeCell ref="P1:P2"/>
  </mergeCells>
  <conditionalFormatting sqref="E21">
    <cfRule type="cellIs" dxfId="87" priority="7" stopIfTrue="1" operator="equal">
      <formula>1</formula>
    </cfRule>
  </conditionalFormatting>
  <conditionalFormatting sqref="E86">
    <cfRule type="cellIs" dxfId="86" priority="12" stopIfTrue="1" operator="equal">
      <formula>1</formula>
    </cfRule>
  </conditionalFormatting>
  <conditionalFormatting sqref="N6">
    <cfRule type="cellIs" dxfId="85" priority="6" operator="equal">
      <formula>1</formula>
    </cfRule>
  </conditionalFormatting>
  <conditionalFormatting sqref="N18">
    <cfRule type="cellIs" dxfId="84" priority="5" operator="equal">
      <formula>1</formula>
    </cfRule>
  </conditionalFormatting>
  <conditionalFormatting sqref="N22:N23">
    <cfRule type="cellIs" dxfId="83" priority="20" stopIfTrue="1" operator="equal">
      <formula>0</formula>
    </cfRule>
  </conditionalFormatting>
  <conditionalFormatting sqref="O10">
    <cfRule type="cellIs" dxfId="82" priority="1" operator="equal">
      <formula>1</formula>
    </cfRule>
  </conditionalFormatting>
  <conditionalFormatting sqref="O18 N19:O20">
    <cfRule type="cellIs" dxfId="81" priority="16" stopIfTrue="1" operator="equal">
      <formula>0</formula>
    </cfRule>
  </conditionalFormatting>
  <conditionalFormatting sqref="R107:R156">
    <cfRule type="cellIs" dxfId="80" priority="2" operator="notEqual">
      <formula>1</formula>
    </cfRule>
    <cfRule type="cellIs" dxfId="79" priority="3" operator="equal">
      <formula>1</formula>
    </cfRule>
  </conditionalFormatting>
  <conditionalFormatting sqref="S65">
    <cfRule type="cellIs" dxfId="78" priority="18" operator="equal">
      <formula>1</formula>
    </cfRule>
    <cfRule type="cellIs" dxfId="77" priority="19" operator="notEqual">
      <formula>1</formula>
    </cfRule>
  </conditionalFormatting>
  <dataValidations count="5">
    <dataValidation type="decimal" errorStyle="information" operator="lessThanOrEqual" allowBlank="1" showInputMessage="1" showErrorMessage="1" error="Bitte nur Werte bis max. 15% verwenden." prompt="Bitte nur Werte bis max. 15% verwenden." sqref="E84" xr:uid="{0EB3B6E2-AD40-4699-88EE-2E7329AD37E2}">
      <formula1>0.15</formula1>
    </dataValidation>
    <dataValidation type="list" allowBlank="1" showInputMessage="1" showErrorMessage="1" sqref="Q25:Q29" xr:uid="{F08D0614-3DF5-499D-BD96-49C71692AF0C}">
      <formula1>$H$33:$O$33</formula1>
    </dataValidation>
    <dataValidation type="list" allowBlank="1" sqref="E86 E21" xr:uid="{DEA5FCB3-5395-41F7-A33F-21564EE07DE6}">
      <formula1>"ja, nein"</formula1>
    </dataValidation>
    <dataValidation allowBlank="1" showInputMessage="1" showErrorMessage="1" prompt="Für die weitere Berechnung werden nur Werte bis max. 100% übernommen." sqref="S89" xr:uid="{33EB18A2-8097-4333-A4BD-EEC21A37462C}"/>
    <dataValidation type="list" allowBlank="1" showInputMessage="1" showErrorMessage="1" sqref="O107:Q156" xr:uid="{F5648C71-10ED-478D-881B-E55E148C863C}">
      <formula1>"0%,50%,100%"</formula1>
    </dataValidation>
  </dataValidations>
  <pageMargins left="0.59055118110236227" right="0.59055118110236227" top="0.78740157480314965" bottom="0.59055118110236227" header="0.51181102362204722" footer="0.27559055118110237"/>
  <pageSetup paperSize="9" scale="79" orientation="portrait" r:id="rId1"/>
  <headerFooter alignWithMargins="0">
    <oddFooter>&amp;C&amp;8Seite &amp;P von &amp;N</oddFooter>
  </headerFooter>
  <rowBreaks count="1" manualBreakCount="1">
    <brk id="51" max="1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48431-066C-438E-8B8B-44620CECE356}">
  <sheetPr codeName="Tabelle11">
    <tabColor theme="9" tint="-0.249977111117893"/>
  </sheetPr>
  <dimension ref="A1:X156"/>
  <sheetViews>
    <sheetView showGridLines="0" showZeros="0" zoomScale="115" zoomScaleNormal="115" zoomScaleSheetLayoutView="115" workbookViewId="0">
      <selection activeCell="B9" sqref="B9"/>
    </sheetView>
  </sheetViews>
  <sheetFormatPr baseColWidth="10" defaultColWidth="11.453125" defaultRowHeight="10"/>
  <cols>
    <col min="1" max="1" width="0.54296875" style="1" customWidth="1"/>
    <col min="2" max="2" width="9.54296875" style="1" customWidth="1"/>
    <col min="3" max="3" width="6.54296875" style="1" customWidth="1"/>
    <col min="4" max="4" width="5.54296875" style="1" customWidth="1"/>
    <col min="5" max="5" width="5.453125" style="1" customWidth="1"/>
    <col min="6" max="6" width="1.81640625" style="1" customWidth="1"/>
    <col min="7" max="7" width="1.453125" style="1" customWidth="1"/>
    <col min="8" max="9" width="7.453125" style="1" customWidth="1"/>
    <col min="10" max="10" width="7.453125" style="42" customWidth="1"/>
    <col min="11" max="11" width="7.453125" style="1" customWidth="1"/>
    <col min="12" max="12" width="7.453125" style="42" customWidth="1"/>
    <col min="13" max="13" width="7.453125" style="1" customWidth="1"/>
    <col min="14" max="15" width="7.453125" style="42" customWidth="1"/>
    <col min="16" max="16" width="8.54296875" style="42" customWidth="1"/>
    <col min="17" max="17" width="7.453125" style="42" customWidth="1"/>
    <col min="18" max="18" width="0.81640625" style="42" customWidth="1"/>
    <col min="19" max="19" width="7.453125" style="42" customWidth="1"/>
    <col min="20" max="20" width="1.1796875" style="1" customWidth="1"/>
    <col min="21" max="21" width="7.1796875" style="202" customWidth="1"/>
    <col min="22" max="24" width="7.26953125" style="202" customWidth="1"/>
    <col min="25" max="16384" width="11.453125" style="1"/>
  </cols>
  <sheetData>
    <row r="1" spans="1:24" ht="13" customHeight="1">
      <c r="A1" s="7"/>
      <c r="B1" s="8"/>
      <c r="C1" s="8"/>
      <c r="D1" s="8"/>
      <c r="E1" s="8"/>
      <c r="F1" s="9"/>
      <c r="H1" s="214"/>
      <c r="I1" s="216"/>
      <c r="J1" s="108"/>
      <c r="K1" s="9"/>
      <c r="L1" s="1364" t="s">
        <v>57</v>
      </c>
      <c r="M1" s="1364" t="s">
        <v>108</v>
      </c>
      <c r="N1" s="1364" t="s">
        <v>126</v>
      </c>
      <c r="O1" s="1364" t="s">
        <v>58</v>
      </c>
      <c r="P1" s="1356" t="s">
        <v>11</v>
      </c>
      <c r="Q1" s="1358" t="s">
        <v>113</v>
      </c>
      <c r="R1" s="341"/>
      <c r="S1" s="332"/>
    </row>
    <row r="2" spans="1:24" ht="38.15" customHeight="1">
      <c r="A2" s="13"/>
      <c r="B2" s="2" t="s">
        <v>24</v>
      </c>
      <c r="C2" s="96"/>
      <c r="D2" s="96"/>
      <c r="E2" s="96"/>
      <c r="F2" s="97"/>
      <c r="H2" s="210" t="s">
        <v>111</v>
      </c>
      <c r="I2" s="3"/>
      <c r="J2" s="49"/>
      <c r="K2" s="14"/>
      <c r="L2" s="1365"/>
      <c r="M2" s="1365"/>
      <c r="N2" s="1365"/>
      <c r="O2" s="1365"/>
      <c r="P2" s="1357"/>
      <c r="Q2" s="1359"/>
      <c r="R2" s="341"/>
      <c r="S2" s="332"/>
      <c r="V2" s="12" t="s">
        <v>863</v>
      </c>
    </row>
    <row r="3" spans="1:24" ht="3" customHeight="1">
      <c r="A3" s="98"/>
      <c r="B3" s="99"/>
      <c r="C3" s="99"/>
      <c r="D3" s="99"/>
      <c r="E3" s="99"/>
      <c r="F3" s="100"/>
      <c r="H3" s="215"/>
      <c r="I3" s="217"/>
      <c r="J3" s="218"/>
      <c r="K3" s="100"/>
      <c r="L3" s="4"/>
      <c r="M3" s="4"/>
      <c r="N3" s="4"/>
      <c r="O3" s="4"/>
      <c r="P3" s="5"/>
      <c r="Q3" s="6"/>
      <c r="R3" s="333"/>
      <c r="S3" s="333"/>
    </row>
    <row r="4" spans="1:24">
      <c r="A4" s="2"/>
      <c r="B4" s="2"/>
      <c r="C4" s="2"/>
      <c r="D4" s="2"/>
      <c r="E4" s="2"/>
      <c r="F4" s="2"/>
      <c r="H4" s="3"/>
      <c r="I4" s="3"/>
      <c r="K4" s="10"/>
      <c r="L4" s="11"/>
      <c r="M4" s="3"/>
      <c r="N4" s="11"/>
      <c r="O4" s="11"/>
      <c r="P4" s="11"/>
      <c r="Q4" s="12"/>
      <c r="R4" s="12"/>
      <c r="S4" s="12"/>
    </row>
    <row r="5" spans="1:24" ht="11.25" customHeight="1">
      <c r="A5" s="7"/>
      <c r="B5" s="8"/>
      <c r="C5" s="8"/>
      <c r="D5" s="8"/>
      <c r="E5" s="8"/>
      <c r="F5" s="9"/>
      <c r="H5" s="15" t="s">
        <v>87</v>
      </c>
      <c r="I5" s="3"/>
      <c r="K5" s="10"/>
      <c r="L5" s="11"/>
      <c r="M5" s="3"/>
      <c r="N5" s="11"/>
      <c r="O5" s="11"/>
      <c r="P5" s="11"/>
      <c r="Q5" s="12"/>
      <c r="R5" s="12"/>
      <c r="S5" s="12"/>
      <c r="V5" s="1225"/>
      <c r="W5" s="1226"/>
      <c r="X5" s="1227"/>
    </row>
    <row r="6" spans="1:24" s="19" customFormat="1" ht="11.5" customHeight="1">
      <c r="A6" s="16"/>
      <c r="B6" s="24"/>
      <c r="C6" s="17"/>
      <c r="D6" s="17"/>
      <c r="E6" s="17"/>
      <c r="F6" s="18"/>
      <c r="H6" s="203" t="s">
        <v>0</v>
      </c>
      <c r="I6" s="17"/>
      <c r="L6" s="339">
        <f>IF(E15&gt;0,E15,0)</f>
        <v>0</v>
      </c>
      <c r="M6" s="20">
        <f>IF(E15&gt;0,'HAW-Kennwerte'!C16,0)</f>
        <v>0</v>
      </c>
      <c r="N6" s="205">
        <f>IF(L6&gt;0,IF(E21="ja",'HAW-Kennwerte'!D16,1),0)</f>
        <v>0</v>
      </c>
      <c r="O6" s="22"/>
      <c r="P6" s="23">
        <f>L6*M6*N6</f>
        <v>0</v>
      </c>
      <c r="Q6" s="328">
        <f>IF(P6&gt;0,'HAW-Kennwerte'!Z9,0)</f>
        <v>0</v>
      </c>
      <c r="R6" s="328"/>
      <c r="S6" s="328"/>
      <c r="U6" s="203"/>
      <c r="V6" s="1200"/>
      <c r="W6" s="1201"/>
      <c r="X6" s="1202"/>
    </row>
    <row r="7" spans="1:24" s="19" customFormat="1" ht="11.5" customHeight="1">
      <c r="A7" s="16"/>
      <c r="B7" s="928" t="str">
        <f>HAW!B4</f>
        <v>Hochschule …</v>
      </c>
      <c r="C7" s="928"/>
      <c r="D7" s="928"/>
      <c r="E7" s="928"/>
      <c r="F7" s="18"/>
      <c r="H7" s="203" t="s">
        <v>1</v>
      </c>
      <c r="I7" s="17"/>
      <c r="L7" s="340">
        <f>IF(E15-E16&lt;0,0,IF(E23&gt;E16,0,E16))</f>
        <v>0</v>
      </c>
      <c r="M7" s="895">
        <f>IF(L7&gt;0,'HAW-Kennwerte'!I16,0)</f>
        <v>0</v>
      </c>
      <c r="N7" s="205"/>
      <c r="O7" s="896">
        <f>IFERROR(IF(L7&gt;0,((E16-E23)*'HAW-Kennwerte'!J16+E23*(E24*'HAW-Kennwerte'!K16+E25*'HAW-Kennwerte'!M16))/(E16*M7),0),"")</f>
        <v>0</v>
      </c>
      <c r="P7" s="27">
        <f>IFERROR(L7*M7*O7,"")</f>
        <v>0</v>
      </c>
      <c r="Q7" s="329">
        <f>IF(P7&gt;0,'HAW-Kennwerte'!AA16,0)</f>
        <v>0</v>
      </c>
      <c r="R7" s="329"/>
      <c r="S7" s="329"/>
      <c r="U7" s="203"/>
      <c r="V7" s="1200"/>
      <c r="W7" s="1201"/>
      <c r="X7" s="1202"/>
    </row>
    <row r="8" spans="1:24" s="19" customFormat="1" ht="11.5" customHeight="1">
      <c r="A8" s="16"/>
      <c r="B8" s="473">
        <f>HAW!B5</f>
        <v>0</v>
      </c>
      <c r="F8" s="18"/>
      <c r="H8" s="203" t="s">
        <v>86</v>
      </c>
      <c r="I8" s="17"/>
      <c r="L8" s="29"/>
      <c r="M8" s="20"/>
      <c r="N8" s="21"/>
      <c r="O8" s="22"/>
      <c r="P8" s="352"/>
      <c r="Q8" s="329"/>
      <c r="R8" s="329"/>
      <c r="S8" s="329"/>
      <c r="U8" s="203"/>
      <c r="V8" s="1228"/>
      <c r="W8" s="1229"/>
      <c r="X8" s="1230"/>
    </row>
    <row r="9" spans="1:24" s="19" customFormat="1" ht="11.5" customHeight="1">
      <c r="A9" s="16"/>
      <c r="B9" s="346" t="s">
        <v>93</v>
      </c>
      <c r="C9" s="347"/>
      <c r="D9" s="347"/>
      <c r="E9" s="347"/>
      <c r="F9" s="18"/>
      <c r="H9" s="203" t="s">
        <v>159</v>
      </c>
      <c r="I9" s="17"/>
      <c r="L9" s="339"/>
      <c r="M9" s="30"/>
      <c r="N9" s="21"/>
      <c r="O9" s="22"/>
      <c r="P9" s="52"/>
      <c r="Q9" s="329"/>
      <c r="R9" s="329"/>
      <c r="S9" s="329"/>
      <c r="U9" s="203"/>
      <c r="V9" s="1228"/>
      <c r="W9" s="1229"/>
      <c r="X9" s="1230"/>
    </row>
    <row r="10" spans="1:24" s="19" customFormat="1" ht="11.5" customHeight="1">
      <c r="A10" s="16"/>
      <c r="B10" s="346" t="s">
        <v>92</v>
      </c>
      <c r="C10" s="348"/>
      <c r="D10" s="348"/>
      <c r="E10" s="348"/>
      <c r="F10" s="18"/>
      <c r="H10" s="204" t="s">
        <v>19</v>
      </c>
      <c r="I10" s="17"/>
      <c r="L10" s="765">
        <f>IF(SUM($E$17:$E$18)&gt;0,$S$84,0)</f>
        <v>0</v>
      </c>
      <c r="M10" s="30">
        <f>IF($L$10&gt;0,'HAW-Kennwerte'!R16,0)</f>
        <v>0</v>
      </c>
      <c r="N10" s="205">
        <f>IF(L10&gt;0,E19,0)</f>
        <v>0</v>
      </c>
      <c r="O10" s="26">
        <f>IF(E84&gt;0.15,0,IFERROR((M10+M10*0.7*E84*0.4)/M10,0))</f>
        <v>0</v>
      </c>
      <c r="P10" s="27">
        <f>L10*N10*(M10*O10+IF(E86="ja",'HAW-Kennwerte'!$R$29,0))</f>
        <v>0</v>
      </c>
      <c r="Q10" s="329"/>
      <c r="R10" s="329"/>
      <c r="S10" s="329"/>
      <c r="U10" s="203"/>
      <c r="V10" s="1200"/>
      <c r="W10" s="1201"/>
      <c r="X10" s="1202"/>
    </row>
    <row r="11" spans="1:24" s="19" customFormat="1" ht="11.5" customHeight="1">
      <c r="A11" s="16"/>
      <c r="B11" s="56"/>
      <c r="C11" s="56"/>
      <c r="D11" s="56"/>
      <c r="E11" s="56"/>
      <c r="F11" s="18"/>
      <c r="H11" s="204" t="s">
        <v>91</v>
      </c>
      <c r="I11" s="17"/>
      <c r="L11" s="765">
        <f>IF(SUM($E$17:$E$18)&gt;0,SUM($E$17:$E$18),0)</f>
        <v>0</v>
      </c>
      <c r="M11" s="249">
        <f>IF($L$11&gt;0,'HAW-Kennwerte'!S12,0)</f>
        <v>0</v>
      </c>
      <c r="N11" s="205">
        <f>IF(L11&gt;0,E19,0)</f>
        <v>0</v>
      </c>
      <c r="O11" s="22"/>
      <c r="P11" s="31">
        <f>L11*M11*N11</f>
        <v>0</v>
      </c>
      <c r="Q11" s="329"/>
      <c r="R11" s="329"/>
      <c r="S11" s="329"/>
      <c r="U11" s="203"/>
      <c r="V11" s="1200"/>
      <c r="W11" s="1201"/>
      <c r="X11" s="1202"/>
    </row>
    <row r="12" spans="1:24" s="19" customFormat="1" ht="11.5" customHeight="1">
      <c r="A12" s="16"/>
      <c r="B12" s="24" t="s">
        <v>8</v>
      </c>
      <c r="F12" s="18"/>
      <c r="H12" s="204" t="s">
        <v>109</v>
      </c>
      <c r="I12" s="17"/>
      <c r="L12" s="766">
        <f>IF($E$17&gt;0,$E$17,0)</f>
        <v>0</v>
      </c>
      <c r="M12" s="30">
        <f>IF(L12&gt;0,'HAW-Kennwerte'!U16,0)</f>
        <v>0</v>
      </c>
      <c r="N12" s="205">
        <f>IF(L12&gt;0,IF(E19=0,0,IF(E19&lt;0.7,0.7,E19)),0)</f>
        <v>0</v>
      </c>
      <c r="O12" s="22"/>
      <c r="P12" s="31">
        <f>L12*M12*N12</f>
        <v>0</v>
      </c>
      <c r="Q12" s="329">
        <f>IF(P12&gt;0,Q$7,0)</f>
        <v>0</v>
      </c>
      <c r="R12" s="329"/>
      <c r="S12" s="329"/>
      <c r="U12" s="203"/>
      <c r="V12" s="1200"/>
      <c r="W12" s="1201"/>
      <c r="X12" s="1202"/>
    </row>
    <row r="13" spans="1:24" s="19" customFormat="1" ht="11.5" customHeight="1">
      <c r="A13" s="16"/>
      <c r="B13" s="56" t="s">
        <v>7</v>
      </c>
      <c r="F13" s="18"/>
      <c r="H13" s="204" t="s">
        <v>110</v>
      </c>
      <c r="I13" s="17"/>
      <c r="L13" s="766">
        <f>IF($E$18&gt;0,$E$18,0)</f>
        <v>0</v>
      </c>
      <c r="M13" s="30">
        <f>IF(L13&gt;0,'HAW-Kennwerte'!X16,0)</f>
        <v>0</v>
      </c>
      <c r="N13" s="205">
        <f>IF(L13&gt;0,IF(E19=0,0,IF(E19&lt;0.7,0.7,E19)),0)</f>
        <v>0</v>
      </c>
      <c r="O13" s="22"/>
      <c r="P13" s="31">
        <f>L13*M13*N13</f>
        <v>0</v>
      </c>
      <c r="Q13" s="329">
        <f>IF(P13&gt;0,Q$7,0)</f>
        <v>0</v>
      </c>
      <c r="R13" s="329"/>
      <c r="S13" s="329"/>
      <c r="U13" s="203"/>
      <c r="V13" s="1200"/>
      <c r="W13" s="1201"/>
      <c r="X13" s="1202"/>
    </row>
    <row r="14" spans="1:24" s="19" customFormat="1" ht="11.5" customHeight="1">
      <c r="A14" s="16"/>
      <c r="C14" s="56"/>
      <c r="F14" s="18"/>
      <c r="H14" s="203" t="s">
        <v>20</v>
      </c>
      <c r="I14" s="17"/>
      <c r="K14" s="112"/>
      <c r="L14" s="32"/>
      <c r="M14" s="17"/>
      <c r="N14" s="32"/>
      <c r="O14" s="33"/>
      <c r="P14" s="34">
        <f>SUMPRODUCT(P6:P13,Q6:Q13)</f>
        <v>0</v>
      </c>
      <c r="Q14" s="330"/>
      <c r="R14" s="330"/>
      <c r="S14" s="330"/>
      <c r="U14" s="203"/>
      <c r="V14" s="1200"/>
      <c r="W14" s="1201"/>
      <c r="X14" s="1202"/>
    </row>
    <row r="15" spans="1:24" s="19" customFormat="1" ht="10.5">
      <c r="A15" s="16"/>
      <c r="B15" s="17"/>
      <c r="C15" s="17"/>
      <c r="D15" s="246" t="s">
        <v>73</v>
      </c>
      <c r="E15" s="349"/>
      <c r="F15" s="18"/>
      <c r="H15" s="17"/>
      <c r="I15" s="17"/>
      <c r="K15" s="35"/>
      <c r="L15" s="36"/>
      <c r="M15" s="17"/>
      <c r="N15" s="35"/>
      <c r="O15" s="35"/>
      <c r="P15" s="38">
        <f>SUM(P6:P14)</f>
        <v>0</v>
      </c>
      <c r="Q15" s="330"/>
      <c r="R15" s="330"/>
      <c r="S15" s="330"/>
      <c r="U15" s="203"/>
      <c r="V15" s="1228"/>
      <c r="W15" s="1229"/>
      <c r="X15" s="1230"/>
    </row>
    <row r="16" spans="1:24" s="19" customFormat="1" ht="11.25" customHeight="1">
      <c r="A16" s="16"/>
      <c r="B16" s="17"/>
      <c r="D16" s="223" t="s">
        <v>75</v>
      </c>
      <c r="E16" s="349"/>
      <c r="F16" s="18"/>
      <c r="H16" s="17"/>
      <c r="I16" s="17"/>
      <c r="K16" s="35"/>
      <c r="L16" s="36"/>
      <c r="M16" s="17"/>
      <c r="N16" s="35"/>
      <c r="O16" s="35"/>
      <c r="Q16" s="330"/>
      <c r="R16" s="330"/>
      <c r="S16" s="330"/>
      <c r="U16" s="203"/>
      <c r="V16" s="1228"/>
      <c r="W16" s="1229"/>
      <c r="X16" s="1230"/>
    </row>
    <row r="17" spans="1:24" s="19" customFormat="1">
      <c r="A17" s="16"/>
      <c r="B17" s="17"/>
      <c r="C17" s="17"/>
      <c r="D17" s="223" t="s">
        <v>185</v>
      </c>
      <c r="E17" s="764">
        <f>L84</f>
        <v>0</v>
      </c>
      <c r="F17" s="18"/>
      <c r="H17" s="24" t="s">
        <v>12</v>
      </c>
      <c r="I17" s="17"/>
      <c r="K17" s="35"/>
      <c r="L17" s="36"/>
      <c r="M17" s="17"/>
      <c r="N17" s="35"/>
      <c r="O17" s="35"/>
      <c r="P17" s="37"/>
      <c r="Q17" s="330"/>
      <c r="R17" s="330"/>
      <c r="S17" s="330"/>
      <c r="U17" s="203"/>
      <c r="V17" s="1228"/>
      <c r="W17" s="1229"/>
      <c r="X17" s="1230"/>
    </row>
    <row r="18" spans="1:24" s="19" customFormat="1" ht="11.5" customHeight="1">
      <c r="A18" s="16"/>
      <c r="B18" s="17"/>
      <c r="C18" s="17"/>
      <c r="D18" s="223" t="s">
        <v>186</v>
      </c>
      <c r="E18" s="764">
        <f>Q84</f>
        <v>0</v>
      </c>
      <c r="F18" s="18"/>
      <c r="H18" s="203" t="s">
        <v>0</v>
      </c>
      <c r="I18" s="17"/>
      <c r="L18" s="39">
        <f>E20/100</f>
        <v>0</v>
      </c>
      <c r="M18" s="30">
        <f>IF(N46=0,IF(E20&gt;0,'HAW-Kennwerte'!F16,0),'HAW-Kennwerte'!E16*81600/N46)</f>
        <v>0</v>
      </c>
      <c r="N18" s="205">
        <f>IF(L18&gt;0,IF(E21="ja",'HAW-Kennwerte'!G16,1),0)</f>
        <v>0</v>
      </c>
      <c r="O18" s="205"/>
      <c r="P18" s="23">
        <f>L18*M18*N18</f>
        <v>0</v>
      </c>
      <c r="Q18" s="328">
        <f>IF(P18&gt;0,Q6,0)</f>
        <v>0</v>
      </c>
      <c r="R18" s="328"/>
      <c r="S18" s="328"/>
      <c r="U18" s="203"/>
      <c r="V18" s="1200"/>
      <c r="W18" s="1201"/>
      <c r="X18" s="1202"/>
    </row>
    <row r="19" spans="1:24" s="19" customFormat="1" ht="11.5" customHeight="1">
      <c r="A19" s="16"/>
      <c r="B19" s="17"/>
      <c r="C19" s="17"/>
      <c r="D19" s="53" t="s">
        <v>27</v>
      </c>
      <c r="E19" s="688">
        <f>S88</f>
        <v>0</v>
      </c>
      <c r="F19" s="18"/>
      <c r="H19" s="203" t="s">
        <v>1</v>
      </c>
      <c r="I19" s="17"/>
      <c r="L19" s="39">
        <f>IF(M19=0,0,L18)</f>
        <v>0</v>
      </c>
      <c r="M19" s="30">
        <f>IF(N46=0,IF(E20=0,0,IF(P7=0,0,'HAW-Kennwerte'!P16)),'HAW-Kennwerte'!O16*81600/N46)</f>
        <v>0</v>
      </c>
      <c r="N19" s="25"/>
      <c r="O19" s="25"/>
      <c r="P19" s="27">
        <f>L19*M19</f>
        <v>0</v>
      </c>
      <c r="Q19" s="329">
        <f>IF(P19&gt;0,Q$7,0)</f>
        <v>0</v>
      </c>
      <c r="R19" s="329"/>
      <c r="S19" s="329"/>
      <c r="U19" s="203"/>
      <c r="V19" s="1200"/>
      <c r="W19" s="1201"/>
      <c r="X19" s="1202"/>
    </row>
    <row r="20" spans="1:24" s="19" customFormat="1" ht="11.5" customHeight="1">
      <c r="A20" s="16"/>
      <c r="B20" s="17"/>
      <c r="C20" s="17"/>
      <c r="D20" s="53" t="s">
        <v>28</v>
      </c>
      <c r="E20" s="55">
        <f>H47</f>
        <v>0</v>
      </c>
      <c r="F20" s="18"/>
      <c r="H20" s="203" t="s">
        <v>159</v>
      </c>
      <c r="I20" s="17"/>
      <c r="L20" s="39"/>
      <c r="M20" s="30"/>
      <c r="N20" s="21"/>
      <c r="O20" s="25"/>
      <c r="P20" s="52"/>
      <c r="Q20" s="329"/>
      <c r="R20" s="329"/>
      <c r="S20" s="329"/>
      <c r="U20" s="203"/>
      <c r="V20" s="1228"/>
      <c r="W20" s="1229"/>
      <c r="X20" s="1230"/>
    </row>
    <row r="21" spans="1:24" s="19" customFormat="1" ht="11.5" customHeight="1">
      <c r="A21" s="16"/>
      <c r="B21" s="17"/>
      <c r="C21" s="17"/>
      <c r="D21" s="223" t="s">
        <v>247</v>
      </c>
      <c r="E21" s="793" t="s">
        <v>248</v>
      </c>
      <c r="F21" s="18"/>
      <c r="H21" s="203" t="s">
        <v>20</v>
      </c>
      <c r="I21" s="17"/>
      <c r="P21" s="34">
        <f>SUMPRODUCT(P18:P20,Q18:Q20)</f>
        <v>0</v>
      </c>
      <c r="Q21" s="329"/>
      <c r="R21" s="329"/>
      <c r="S21" s="329"/>
      <c r="U21" s="203"/>
      <c r="V21" s="1200"/>
      <c r="W21" s="1201"/>
      <c r="X21" s="1202"/>
    </row>
    <row r="22" spans="1:24" s="19" customFormat="1" ht="11.5" customHeight="1">
      <c r="A22" s="16"/>
      <c r="B22" s="17"/>
      <c r="C22" s="2"/>
      <c r="F22" s="18"/>
      <c r="I22" s="17"/>
      <c r="K22" s="17"/>
      <c r="L22" s="213"/>
      <c r="M22" s="17"/>
      <c r="N22" s="112"/>
      <c r="O22" s="212"/>
      <c r="P22" s="38">
        <f>SUM(P18:P21)</f>
        <v>0</v>
      </c>
      <c r="Q22" s="28"/>
      <c r="R22" s="28"/>
      <c r="S22" s="28"/>
      <c r="U22" s="203"/>
      <c r="V22" s="1228"/>
      <c r="W22" s="1229"/>
      <c r="X22" s="1230"/>
    </row>
    <row r="23" spans="1:24" s="19" customFormat="1" ht="11.5" customHeight="1">
      <c r="A23" s="16"/>
      <c r="B23" s="17"/>
      <c r="C23" s="17"/>
      <c r="D23" s="223" t="s">
        <v>127</v>
      </c>
      <c r="E23" s="349">
        <f>P103</f>
        <v>0</v>
      </c>
      <c r="F23" s="18"/>
      <c r="I23" s="17"/>
      <c r="J23" s="112"/>
      <c r="K23" s="17"/>
      <c r="L23" s="44"/>
      <c r="M23" s="17"/>
      <c r="N23" s="112"/>
      <c r="O23" s="212"/>
      <c r="R23" s="40"/>
      <c r="S23" s="40"/>
      <c r="U23" s="203"/>
      <c r="V23" s="1228"/>
      <c r="W23" s="1229"/>
      <c r="X23" s="1230"/>
    </row>
    <row r="24" spans="1:24" ht="12.65" customHeight="1">
      <c r="A24" s="13"/>
      <c r="B24" s="2"/>
      <c r="C24" s="17"/>
      <c r="D24" s="53" t="s">
        <v>13</v>
      </c>
      <c r="E24" s="350" t="str">
        <f>P104</f>
        <v/>
      </c>
      <c r="F24" s="14"/>
      <c r="I24" s="24" t="s">
        <v>15</v>
      </c>
      <c r="J24" s="1"/>
      <c r="K24" s="17"/>
      <c r="L24" s="41"/>
      <c r="M24" s="2"/>
      <c r="P24" s="43"/>
      <c r="Q24" s="1185" t="s">
        <v>789</v>
      </c>
      <c r="R24" s="12"/>
      <c r="S24" s="12"/>
      <c r="V24" s="1231"/>
      <c r="W24" s="1232"/>
      <c r="X24" s="1174"/>
    </row>
    <row r="25" spans="1:24" ht="11.15" customHeight="1">
      <c r="A25" s="13"/>
      <c r="B25" s="2"/>
      <c r="D25" s="53" t="s">
        <v>14</v>
      </c>
      <c r="E25" s="688">
        <f>IF(E23&gt;0,IF(E24="",0,1-E24),0)</f>
        <v>0</v>
      </c>
      <c r="F25" s="14"/>
      <c r="I25" s="1167" t="s">
        <v>293</v>
      </c>
      <c r="J25" s="359"/>
      <c r="K25" s="359"/>
      <c r="L25" s="360"/>
      <c r="M25" s="361"/>
      <c r="N25" s="362"/>
      <c r="P25" s="351"/>
      <c r="Q25" s="718"/>
      <c r="R25" s="788"/>
      <c r="S25" s="788"/>
      <c r="T25" s="369"/>
      <c r="V25" s="1231"/>
      <c r="W25" s="1232"/>
      <c r="X25" s="1174"/>
    </row>
    <row r="26" spans="1:24">
      <c r="A26" s="13"/>
      <c r="B26" s="2"/>
      <c r="C26" s="2"/>
      <c r="D26" s="2"/>
      <c r="E26" s="2"/>
      <c r="F26" s="14"/>
      <c r="I26" s="1168"/>
      <c r="J26" s="363"/>
      <c r="K26" s="363"/>
      <c r="L26" s="364"/>
      <c r="M26" s="363"/>
      <c r="N26" s="365"/>
      <c r="P26" s="352"/>
      <c r="Q26" s="718"/>
      <c r="R26" s="788"/>
      <c r="S26" s="788"/>
      <c r="T26" s="369"/>
      <c r="V26" s="1231"/>
      <c r="W26" s="1232"/>
      <c r="X26" s="1174"/>
    </row>
    <row r="27" spans="1:24" s="19" customFormat="1" ht="11.5" customHeight="1">
      <c r="A27" s="16"/>
      <c r="B27" s="17"/>
      <c r="C27" s="53" t="s">
        <v>29</v>
      </c>
      <c r="D27" s="1360">
        <f>HAW!D24</f>
        <v>0</v>
      </c>
      <c r="E27" s="1361"/>
      <c r="F27" s="18"/>
      <c r="I27" s="1168"/>
      <c r="J27" s="366"/>
      <c r="K27" s="366"/>
      <c r="L27" s="366"/>
      <c r="M27" s="366"/>
      <c r="N27" s="367"/>
      <c r="O27" s="35"/>
      <c r="P27" s="352"/>
      <c r="Q27" s="719"/>
      <c r="R27" s="789"/>
      <c r="S27" s="789"/>
      <c r="T27" s="345"/>
      <c r="U27" s="203"/>
      <c r="V27" s="1228"/>
      <c r="W27" s="1229"/>
      <c r="X27" s="1230"/>
    </row>
    <row r="28" spans="1:24" s="19" customFormat="1" ht="11.5" customHeight="1">
      <c r="A28" s="16"/>
      <c r="B28" s="17"/>
      <c r="C28" s="53" t="s">
        <v>30</v>
      </c>
      <c r="D28" s="1362">
        <f>HAW!D25</f>
        <v>0</v>
      </c>
      <c r="E28" s="1363"/>
      <c r="F28" s="18"/>
      <c r="I28" s="1168"/>
      <c r="J28" s="366"/>
      <c r="K28" s="366"/>
      <c r="L28" s="366"/>
      <c r="M28" s="366"/>
      <c r="N28" s="366"/>
      <c r="P28" s="352"/>
      <c r="Q28" s="719"/>
      <c r="R28" s="789"/>
      <c r="S28" s="789"/>
      <c r="T28" s="345"/>
      <c r="U28" s="203"/>
      <c r="V28" s="1228"/>
      <c r="W28" s="1229"/>
      <c r="X28" s="1230"/>
    </row>
    <row r="29" spans="1:24" s="19" customFormat="1" ht="11.5" customHeight="1">
      <c r="A29" s="102"/>
      <c r="B29" s="103"/>
      <c r="C29" s="103"/>
      <c r="D29" s="103"/>
      <c r="E29" s="103"/>
      <c r="F29" s="104"/>
      <c r="I29" s="1168"/>
      <c r="J29" s="366"/>
      <c r="K29" s="366"/>
      <c r="L29" s="366"/>
      <c r="M29" s="366"/>
      <c r="N29" s="366"/>
      <c r="P29" s="353"/>
      <c r="Q29" s="719"/>
      <c r="R29" s="789"/>
      <c r="S29" s="789"/>
      <c r="T29" s="345"/>
      <c r="U29" s="203"/>
      <c r="V29" s="1228"/>
      <c r="W29" s="1229"/>
      <c r="X29" s="1230"/>
    </row>
    <row r="30" spans="1:24" s="19" customFormat="1" ht="11.25" customHeight="1">
      <c r="A30" s="17"/>
      <c r="I30" s="17"/>
      <c r="J30" s="1366"/>
      <c r="K30" s="1366"/>
      <c r="L30" s="1366"/>
      <c r="M30" s="1366"/>
      <c r="N30" s="1366"/>
      <c r="O30" s="1366"/>
      <c r="P30" s="38">
        <f>SUM(P25:P29)</f>
        <v>0</v>
      </c>
      <c r="Q30" s="789"/>
      <c r="R30" s="789"/>
      <c r="S30" s="789"/>
      <c r="T30" s="345"/>
      <c r="U30" s="203"/>
      <c r="V30" s="1228"/>
      <c r="W30" s="1229"/>
      <c r="X30" s="1230"/>
    </row>
    <row r="31" spans="1:24" ht="11.25" customHeight="1">
      <c r="A31" s="2"/>
      <c r="B31" s="2"/>
      <c r="C31" s="2"/>
      <c r="H31" s="106"/>
      <c r="I31" s="224"/>
      <c r="J31" s="225"/>
      <c r="K31" s="224"/>
      <c r="L31" s="226"/>
      <c r="M31" s="225"/>
      <c r="N31" s="107"/>
      <c r="O31" s="107"/>
      <c r="P31" s="227"/>
      <c r="Q31" s="50"/>
      <c r="R31" s="50"/>
      <c r="S31" s="40"/>
      <c r="V31" s="1231"/>
      <c r="W31" s="1232"/>
      <c r="X31" s="1174"/>
    </row>
    <row r="32" spans="1:24" ht="11.25" customHeight="1">
      <c r="A32" s="2"/>
      <c r="B32" s="2"/>
      <c r="C32" s="2"/>
      <c r="I32" s="47"/>
      <c r="J32" s="24"/>
      <c r="K32" s="47"/>
      <c r="L32" s="48"/>
      <c r="M32" s="24"/>
      <c r="N32" s="49"/>
      <c r="O32" s="49"/>
      <c r="P32" s="50"/>
      <c r="Q32" s="50"/>
      <c r="R32" s="50"/>
      <c r="S32" s="40"/>
      <c r="V32" s="1231"/>
      <c r="W32" s="1232"/>
      <c r="X32" s="1174"/>
    </row>
    <row r="33" spans="1:24" ht="50.15" customHeight="1" thickBot="1">
      <c r="A33" s="2"/>
      <c r="B33" s="2"/>
      <c r="C33" s="2"/>
      <c r="D33" s="2"/>
      <c r="F33" s="219" t="s">
        <v>16</v>
      </c>
      <c r="G33" s="2"/>
      <c r="H33" s="220" t="s">
        <v>0</v>
      </c>
      <c r="I33" s="220" t="s">
        <v>1</v>
      </c>
      <c r="J33" s="221" t="s">
        <v>197</v>
      </c>
      <c r="K33" s="221" t="s">
        <v>159</v>
      </c>
      <c r="L33" s="221" t="s">
        <v>198</v>
      </c>
      <c r="M33" s="221" t="s">
        <v>22</v>
      </c>
      <c r="N33" s="220" t="s">
        <v>20</v>
      </c>
      <c r="O33" s="221" t="s">
        <v>199</v>
      </c>
      <c r="T33" s="77"/>
      <c r="V33" s="1231"/>
      <c r="W33" s="1232"/>
      <c r="X33" s="1174"/>
    </row>
    <row r="34" spans="1:24" ht="17.149999999999999" customHeight="1" thickBot="1">
      <c r="B34" s="2"/>
      <c r="C34" s="2"/>
      <c r="D34" s="2"/>
      <c r="G34" s="2"/>
      <c r="H34" s="222">
        <f>P6+P18+SUMIF(Q25:Q29,H33,P25:P29)</f>
        <v>0</v>
      </c>
      <c r="I34" s="222">
        <f>IFERROR(P7+P19+SUMIF(Q25:Q29,I33,P25:P29),"")</f>
        <v>0</v>
      </c>
      <c r="J34" s="222">
        <f>P8+SUMIF(Q25:Q29,J33,P25:P29)</f>
        <v>0</v>
      </c>
      <c r="K34" s="222">
        <f>SUMIF(Q25:Q29,K33,P25:P29)</f>
        <v>0</v>
      </c>
      <c r="L34" s="222">
        <f>P10+P11+SUMIF(Q25:Q29,L33,P25:P29)</f>
        <v>0</v>
      </c>
      <c r="M34" s="222">
        <f>P12+P13+SUMIF(Q25:Q29,M33,P25:P29)</f>
        <v>0</v>
      </c>
      <c r="N34" s="222">
        <f>P14+P21+SUMIF(Q25:Q29,N33,P25:P29)</f>
        <v>0</v>
      </c>
      <c r="O34" s="222">
        <f>SUMIF(Q25:Q29,O33,P25:P29)</f>
        <v>0</v>
      </c>
      <c r="P34" s="331">
        <f>SUM(H34:O34)</f>
        <v>0</v>
      </c>
      <c r="Q34" s="101"/>
      <c r="R34" s="101"/>
      <c r="S34" s="101"/>
      <c r="T34" s="77"/>
      <c r="V34" s="1231"/>
      <c r="W34" s="1232"/>
      <c r="X34" s="1174"/>
    </row>
    <row r="35" spans="1:24">
      <c r="A35" s="106"/>
      <c r="B35" s="105"/>
      <c r="C35" s="46"/>
      <c r="D35" s="46"/>
      <c r="E35" s="46"/>
      <c r="F35" s="46"/>
      <c r="G35" s="106"/>
      <c r="H35" s="106"/>
      <c r="I35" s="106"/>
      <c r="J35" s="107"/>
      <c r="K35" s="106"/>
      <c r="L35" s="107"/>
      <c r="M35" s="106"/>
      <c r="N35" s="107"/>
      <c r="O35" s="107"/>
      <c r="P35" s="107"/>
      <c r="Q35" s="107"/>
      <c r="R35" s="49"/>
      <c r="S35" s="49"/>
      <c r="T35" s="77"/>
      <c r="V35" s="1231"/>
      <c r="W35" s="1232"/>
      <c r="X35" s="1174"/>
    </row>
    <row r="36" spans="1:24">
      <c r="S36" s="49"/>
      <c r="T36" s="77"/>
      <c r="V36" s="1231"/>
      <c r="W36" s="1232"/>
      <c r="X36" s="1174"/>
    </row>
    <row r="37" spans="1:24">
      <c r="A37" s="7"/>
      <c r="B37" s="8"/>
      <c r="C37" s="8"/>
      <c r="D37" s="8"/>
      <c r="E37" s="8"/>
      <c r="F37" s="8"/>
      <c r="G37" s="8"/>
      <c r="H37" s="8"/>
      <c r="I37" s="8"/>
      <c r="J37" s="8"/>
      <c r="K37" s="8"/>
      <c r="L37" s="8"/>
      <c r="M37" s="8"/>
      <c r="N37" s="108"/>
      <c r="O37" s="108"/>
      <c r="P37" s="109"/>
      <c r="S37" s="49"/>
      <c r="T37" s="77"/>
      <c r="V37" s="1231"/>
      <c r="W37" s="1232"/>
      <c r="X37" s="1174"/>
    </row>
    <row r="38" spans="1:24" ht="10.5">
      <c r="A38" s="13"/>
      <c r="E38" s="110" t="s">
        <v>70</v>
      </c>
      <c r="F38" s="2"/>
      <c r="G38" s="2"/>
      <c r="H38" s="2"/>
      <c r="I38" s="2"/>
      <c r="J38" s="2"/>
      <c r="K38" s="238" t="s">
        <v>69</v>
      </c>
      <c r="M38" s="2"/>
      <c r="N38" s="49"/>
      <c r="O38" s="49"/>
      <c r="P38" s="111"/>
      <c r="S38" s="49"/>
      <c r="T38" s="77"/>
      <c r="V38" s="1231"/>
      <c r="W38" s="1232"/>
      <c r="X38" s="1174"/>
    </row>
    <row r="39" spans="1:24" ht="2.5" customHeight="1">
      <c r="A39" s="13"/>
      <c r="E39" s="110"/>
      <c r="F39" s="2"/>
      <c r="G39" s="2"/>
      <c r="H39" s="46"/>
      <c r="I39" s="2"/>
      <c r="J39" s="2"/>
      <c r="K39" s="2"/>
      <c r="L39" s="2"/>
      <c r="M39" s="2"/>
      <c r="N39" s="49"/>
      <c r="O39" s="49"/>
      <c r="P39" s="111"/>
      <c r="S39" s="49"/>
      <c r="T39" s="77"/>
      <c r="V39" s="1231"/>
      <c r="W39" s="1232"/>
      <c r="X39" s="1174"/>
    </row>
    <row r="40" spans="1:24" ht="11.15" customHeight="1">
      <c r="A40" s="13"/>
      <c r="E40" s="207">
        <f>IF($E$44&gt;2023,$E$44-4,"")</f>
        <v>2021</v>
      </c>
      <c r="H40" s="354"/>
      <c r="I40" s="2" t="s">
        <v>25</v>
      </c>
      <c r="J40" s="2"/>
      <c r="K40" s="2"/>
      <c r="L40" s="49"/>
      <c r="M40" s="2"/>
      <c r="N40" s="49"/>
      <c r="O40" s="49"/>
      <c r="P40" s="111"/>
      <c r="S40" s="49"/>
      <c r="T40" s="77"/>
      <c r="V40" s="1231"/>
      <c r="W40" s="1232"/>
      <c r="X40" s="1174"/>
    </row>
    <row r="41" spans="1:24" ht="11.15" customHeight="1">
      <c r="A41" s="13"/>
      <c r="E41" s="207">
        <f>IF($E$44&gt;2023,$E$44-3,"")</f>
        <v>2022</v>
      </c>
      <c r="H41" s="354"/>
      <c r="I41" s="228" t="s">
        <v>25</v>
      </c>
      <c r="J41" s="2"/>
      <c r="K41" s="2"/>
      <c r="L41" s="49"/>
      <c r="M41" s="2"/>
      <c r="N41" s="49"/>
      <c r="O41" s="49"/>
      <c r="P41" s="111"/>
      <c r="S41" s="49"/>
      <c r="T41" s="77"/>
      <c r="V41" s="1231"/>
      <c r="W41" s="1232"/>
      <c r="X41" s="1174"/>
    </row>
    <row r="42" spans="1:24" ht="11.15" customHeight="1">
      <c r="A42" s="13"/>
      <c r="E42" s="207">
        <f>IF($E$44&gt;2023,$E$44-2,"")</f>
        <v>2023</v>
      </c>
      <c r="H42" s="354"/>
      <c r="I42" s="228" t="s">
        <v>25</v>
      </c>
      <c r="J42" s="2"/>
      <c r="K42" s="2"/>
      <c r="L42" s="49"/>
      <c r="M42" s="2"/>
      <c r="N42" s="49"/>
      <c r="O42" s="49"/>
      <c r="P42" s="111"/>
      <c r="S42" s="49"/>
      <c r="T42" s="77"/>
      <c r="V42" s="1231"/>
      <c r="W42" s="1232"/>
      <c r="X42" s="1174"/>
    </row>
    <row r="43" spans="1:24" ht="11.15" customHeight="1">
      <c r="A43" s="13"/>
      <c r="E43" s="207">
        <f>IF($E$44&gt;2023,$E$44-1,"")</f>
        <v>2024</v>
      </c>
      <c r="H43" s="354"/>
      <c r="I43" s="228" t="s">
        <v>25</v>
      </c>
      <c r="J43" s="2"/>
      <c r="M43" s="207" t="s">
        <v>56</v>
      </c>
      <c r="N43" s="247">
        <f>'HAW-Kennwerte'!E29</f>
        <v>81600</v>
      </c>
      <c r="O43" s="49"/>
      <c r="P43" s="111"/>
      <c r="S43" s="49"/>
      <c r="T43" s="77"/>
      <c r="V43" s="1231"/>
      <c r="W43" s="1232"/>
      <c r="X43" s="1174"/>
    </row>
    <row r="44" spans="1:24" ht="11.15" customHeight="1">
      <c r="A44" s="13"/>
      <c r="D44" s="236" t="s">
        <v>184</v>
      </c>
      <c r="E44" s="711">
        <v>2025</v>
      </c>
      <c r="H44" s="354"/>
      <c r="I44" s="228" t="s">
        <v>25</v>
      </c>
      <c r="J44" s="49"/>
      <c r="M44" s="207" t="s">
        <v>119</v>
      </c>
      <c r="N44" s="475"/>
      <c r="O44" s="49"/>
      <c r="P44" s="111"/>
      <c r="S44" s="49"/>
      <c r="T44" s="77"/>
      <c r="V44" s="1231"/>
      <c r="W44" s="1232"/>
      <c r="X44" s="1174"/>
    </row>
    <row r="45" spans="1:24" ht="2.5" customHeight="1">
      <c r="A45" s="13"/>
      <c r="E45" s="2"/>
      <c r="F45" s="2"/>
      <c r="H45" s="2"/>
      <c r="I45" s="2"/>
      <c r="J45" s="49"/>
      <c r="M45" s="2"/>
      <c r="N45" s="2"/>
      <c r="O45" s="49"/>
      <c r="P45" s="111"/>
      <c r="S45" s="49"/>
      <c r="T45" s="77"/>
      <c r="V45" s="1231"/>
      <c r="W45" s="1232"/>
      <c r="X45" s="1174"/>
    </row>
    <row r="46" spans="1:24">
      <c r="A46" s="13"/>
      <c r="E46" s="2"/>
      <c r="F46" s="2"/>
      <c r="G46" s="116" t="s">
        <v>33</v>
      </c>
      <c r="H46" s="354"/>
      <c r="I46" s="2"/>
      <c r="J46" s="49"/>
      <c r="M46" s="116" t="s">
        <v>33</v>
      </c>
      <c r="N46" s="354"/>
      <c r="O46" s="49"/>
      <c r="P46" s="111"/>
      <c r="S46" s="49"/>
      <c r="T46" s="77"/>
      <c r="V46" s="1231"/>
      <c r="W46" s="1232"/>
      <c r="X46" s="1174"/>
    </row>
    <row r="47" spans="1:24" ht="12" customHeight="1">
      <c r="A47" s="13"/>
      <c r="E47" s="2"/>
      <c r="F47" s="2"/>
      <c r="G47" s="2"/>
      <c r="H47" s="54">
        <f>IF(H46=0,(H44*1.02*5+H43*1.04*4+H42*1.06*3+H41*1.08*2+H40*1.1)/15,H46)</f>
        <v>0</v>
      </c>
      <c r="I47" s="2"/>
      <c r="J47" s="49"/>
      <c r="M47" s="2"/>
      <c r="N47" s="54">
        <f>IF(N46&gt;0,N46,'HAW-Kennwerte'!E31)</f>
        <v>81600</v>
      </c>
      <c r="O47" s="49"/>
      <c r="P47" s="111"/>
      <c r="S47" s="49"/>
      <c r="T47" s="77"/>
      <c r="V47" s="1200"/>
      <c r="W47" s="1201"/>
      <c r="X47" s="1202"/>
    </row>
    <row r="48" spans="1:24">
      <c r="A48" s="45"/>
      <c r="B48" s="46"/>
      <c r="C48" s="46"/>
      <c r="D48" s="46"/>
      <c r="E48" s="46"/>
      <c r="F48" s="46"/>
      <c r="G48" s="46"/>
      <c r="H48" s="46"/>
      <c r="I48" s="46"/>
      <c r="J48" s="119"/>
      <c r="K48" s="46"/>
      <c r="L48" s="119"/>
      <c r="M48" s="46"/>
      <c r="N48" s="119"/>
      <c r="O48" s="119"/>
      <c r="P48" s="120"/>
      <c r="S48" s="49"/>
      <c r="T48" s="77"/>
      <c r="V48" s="1231"/>
      <c r="W48" s="1232"/>
      <c r="X48" s="1174"/>
    </row>
    <row r="49" spans="1:24" ht="11.25" customHeight="1">
      <c r="B49" s="117" t="s">
        <v>34</v>
      </c>
      <c r="S49" s="49"/>
      <c r="T49" s="2"/>
      <c r="V49" s="1231"/>
      <c r="W49" s="1232"/>
      <c r="X49" s="1174"/>
    </row>
    <row r="50" spans="1:24">
      <c r="A50" s="2"/>
      <c r="B50" s="106"/>
      <c r="C50" s="209"/>
      <c r="D50" s="106"/>
      <c r="E50" s="106"/>
      <c r="F50" s="106"/>
      <c r="G50" s="106"/>
      <c r="H50" s="106"/>
      <c r="I50" s="106"/>
      <c r="J50" s="106"/>
      <c r="K50" s="107"/>
      <c r="L50" s="106"/>
      <c r="M50" s="107"/>
      <c r="N50" s="106"/>
      <c r="O50" s="107"/>
      <c r="P50" s="107"/>
      <c r="Q50" s="107"/>
      <c r="R50" s="49"/>
      <c r="S50" s="49"/>
      <c r="T50" s="49"/>
      <c r="V50" s="1231"/>
      <c r="W50" s="1232"/>
      <c r="X50" s="1174"/>
    </row>
    <row r="51" spans="1:24">
      <c r="A51" s="2"/>
      <c r="J51" s="1"/>
      <c r="K51" s="42"/>
      <c r="L51" s="1"/>
      <c r="M51" s="42"/>
      <c r="N51" s="1"/>
      <c r="Q51" s="201" t="str">
        <f>HAW!B28</f>
        <v>Kennwertverfahren NRW für HAW; HIS-Institut für Hochschulentwicklung e.V. (24.04.2026)</v>
      </c>
      <c r="R51" s="250"/>
      <c r="S51" s="2"/>
      <c r="T51" s="2"/>
      <c r="V51" s="1231"/>
      <c r="W51" s="1232"/>
      <c r="X51" s="1174"/>
    </row>
    <row r="52" spans="1:24">
      <c r="A52" s="2"/>
      <c r="T52" s="121"/>
      <c r="V52" s="1231"/>
      <c r="W52" s="1232"/>
      <c r="X52" s="1174"/>
    </row>
    <row r="53" spans="1:24">
      <c r="A53" s="2"/>
      <c r="T53" s="121"/>
      <c r="V53" s="1231"/>
      <c r="W53" s="1232"/>
      <c r="X53" s="1174"/>
    </row>
    <row r="54" spans="1:24" ht="10.5">
      <c r="A54" s="2"/>
      <c r="B54" s="368" t="str">
        <f>IF(B8=0,B7,CONCATENATE(B7,B8))</f>
        <v>Hochschule …</v>
      </c>
      <c r="C54" s="369"/>
      <c r="D54" s="369"/>
      <c r="E54" s="369"/>
      <c r="F54" s="369"/>
      <c r="G54" s="369"/>
      <c r="H54" s="369"/>
      <c r="I54" s="369"/>
      <c r="J54" s="370"/>
      <c r="K54" s="369"/>
      <c r="L54" s="370"/>
      <c r="M54" s="369"/>
      <c r="N54" s="370"/>
      <c r="O54" s="370"/>
      <c r="P54" s="370"/>
      <c r="Q54" s="370"/>
      <c r="R54" s="370"/>
      <c r="S54" s="370"/>
      <c r="T54" s="121"/>
      <c r="V54" s="1231"/>
      <c r="W54" s="1232"/>
      <c r="X54" s="1174"/>
    </row>
    <row r="55" spans="1:24">
      <c r="A55" s="2"/>
      <c r="B55" s="369" t="str">
        <f>B9</f>
        <v>[Fakultät/Fachbereich]</v>
      </c>
      <c r="C55" s="369"/>
      <c r="D55" s="369"/>
      <c r="E55" s="369"/>
      <c r="F55" s="369"/>
      <c r="G55" s="369"/>
      <c r="H55" s="369"/>
      <c r="I55" s="369"/>
      <c r="J55" s="370"/>
      <c r="K55" s="369"/>
      <c r="L55" s="370"/>
      <c r="M55" s="369"/>
      <c r="N55" s="370"/>
      <c r="O55" s="370"/>
      <c r="P55" s="370"/>
      <c r="Q55" s="370"/>
      <c r="R55" s="370"/>
      <c r="S55" s="370"/>
      <c r="T55" s="121"/>
      <c r="V55" s="1231"/>
      <c r="W55" s="1232"/>
      <c r="X55" s="1174"/>
    </row>
    <row r="56" spans="1:24">
      <c r="A56" s="2"/>
      <c r="B56" s="369" t="str">
        <f>B10</f>
        <v>[Department, Institut o.a.]</v>
      </c>
      <c r="C56" s="369"/>
      <c r="D56" s="369"/>
      <c r="E56" s="369"/>
      <c r="F56" s="369"/>
      <c r="G56" s="369"/>
      <c r="H56" s="369"/>
      <c r="I56" s="369"/>
      <c r="J56" s="370"/>
      <c r="K56" s="369"/>
      <c r="L56" s="370"/>
      <c r="M56" s="369"/>
      <c r="N56" s="370"/>
      <c r="O56" s="370"/>
      <c r="P56" s="370"/>
      <c r="Q56" s="370"/>
      <c r="R56" s="370"/>
      <c r="S56" s="370"/>
      <c r="T56" s="121"/>
      <c r="V56" s="1231"/>
      <c r="W56" s="1232"/>
      <c r="X56" s="1174"/>
    </row>
    <row r="57" spans="1:24">
      <c r="A57" s="2"/>
      <c r="B57" s="369" t="str">
        <f>CONCATENATE(B12,": ",B13)</f>
        <v>Lehr- und Forschungsbereich: Maschinenbau</v>
      </c>
      <c r="C57" s="369"/>
      <c r="D57" s="369"/>
      <c r="E57" s="369"/>
      <c r="F57" s="369"/>
      <c r="G57" s="369"/>
      <c r="H57" s="369"/>
      <c r="I57" s="369"/>
      <c r="J57" s="370"/>
      <c r="K57" s="369"/>
      <c r="L57" s="370"/>
      <c r="M57" s="369"/>
      <c r="N57" s="370"/>
      <c r="O57" s="370"/>
      <c r="P57" s="370"/>
      <c r="Q57" s="370"/>
      <c r="R57" s="370"/>
      <c r="S57" s="370"/>
      <c r="T57" s="121"/>
      <c r="V57" s="1231"/>
      <c r="W57" s="1232"/>
      <c r="X57" s="1174"/>
    </row>
    <row r="58" spans="1:24">
      <c r="A58" s="2"/>
      <c r="T58" s="121"/>
      <c r="V58" s="1231"/>
      <c r="W58" s="1232"/>
      <c r="X58" s="1174"/>
    </row>
    <row r="59" spans="1:24">
      <c r="A59" s="2"/>
      <c r="B59" s="378" t="s">
        <v>95</v>
      </c>
      <c r="T59" s="121"/>
      <c r="V59" s="1231"/>
      <c r="W59" s="1232"/>
      <c r="X59" s="1174"/>
    </row>
    <row r="60" spans="1:24" s="202" customFormat="1" ht="2.25" customHeight="1">
      <c r="A60" s="110"/>
      <c r="B60" s="909"/>
      <c r="C60" s="910"/>
      <c r="D60" s="910"/>
      <c r="E60" s="910"/>
      <c r="F60" s="910"/>
      <c r="G60" s="910"/>
      <c r="H60" s="910"/>
      <c r="I60" s="910"/>
      <c r="J60" s="544"/>
      <c r="K60" s="910"/>
      <c r="L60" s="544"/>
      <c r="M60" s="910"/>
      <c r="N60" s="544"/>
      <c r="O60" s="544"/>
      <c r="P60" s="544"/>
      <c r="Q60" s="544"/>
      <c r="R60" s="544"/>
      <c r="S60" s="544"/>
      <c r="T60" s="320"/>
      <c r="V60" s="1231"/>
      <c r="W60" s="1232"/>
      <c r="X60" s="1174"/>
    </row>
    <row r="61" spans="1:24" s="202" customFormat="1" ht="10" customHeight="1">
      <c r="A61" s="206"/>
      <c r="B61" s="210"/>
      <c r="C61" s="206"/>
      <c r="D61" s="206"/>
      <c r="E61" s="206"/>
      <c r="F61" s="206"/>
      <c r="G61" s="206"/>
      <c r="H61" s="238"/>
      <c r="I61" s="238"/>
      <c r="J61" s="239"/>
      <c r="K61" s="238"/>
      <c r="L61" s="239"/>
      <c r="M61" s="238"/>
      <c r="N61" s="239"/>
      <c r="O61" s="239"/>
      <c r="P61" s="239"/>
      <c r="Q61" s="208"/>
      <c r="R61" s="208"/>
      <c r="S61" s="1166" t="s">
        <v>60</v>
      </c>
      <c r="T61" s="321"/>
      <c r="V61" s="1231"/>
      <c r="W61" s="1232"/>
      <c r="X61" s="1174"/>
    </row>
    <row r="62" spans="1:24" s="202" customFormat="1" ht="10" customHeight="1">
      <c r="A62" s="206"/>
      <c r="B62" s="210"/>
      <c r="C62" s="206"/>
      <c r="E62" s="206"/>
      <c r="F62" s="206"/>
      <c r="G62" s="206"/>
      <c r="H62" s="240" t="s">
        <v>60</v>
      </c>
      <c r="I62" s="241"/>
      <c r="J62" s="241"/>
      <c r="K62" s="240"/>
      <c r="L62" s="240"/>
      <c r="M62" s="243" t="s">
        <v>61</v>
      </c>
      <c r="N62" s="241"/>
      <c r="O62" s="240"/>
      <c r="P62" s="240"/>
      <c r="Q62" s="240"/>
      <c r="R62" s="240"/>
      <c r="S62" s="1189" t="s">
        <v>857</v>
      </c>
      <c r="T62" s="321"/>
      <c r="V62" s="1231"/>
      <c r="W62" s="1232"/>
      <c r="X62" s="1174"/>
    </row>
    <row r="63" spans="1:24" ht="10.4" customHeight="1">
      <c r="A63" s="2"/>
      <c r="B63" s="235"/>
      <c r="C63" s="204"/>
      <c r="F63" s="2"/>
      <c r="G63" s="2"/>
      <c r="H63" s="49"/>
      <c r="I63" s="2"/>
      <c r="J63" s="2"/>
      <c r="K63" s="49"/>
      <c r="L63" s="1"/>
      <c r="M63" s="244"/>
      <c r="N63" s="2"/>
      <c r="O63" s="49"/>
      <c r="P63" s="1"/>
      <c r="Q63" s="49"/>
      <c r="R63" s="49"/>
      <c r="S63" s="234"/>
      <c r="T63" s="321"/>
      <c r="V63" s="1231"/>
      <c r="W63" s="1232"/>
      <c r="X63" s="1174"/>
    </row>
    <row r="64" spans="1:24" ht="10.5">
      <c r="A64" s="2"/>
      <c r="B64" s="235"/>
      <c r="C64" s="204"/>
      <c r="E64" s="237" t="s">
        <v>66</v>
      </c>
      <c r="F64" s="2"/>
      <c r="G64" s="2"/>
      <c r="H64" s="202" t="s">
        <v>67</v>
      </c>
      <c r="I64" s="2"/>
      <c r="J64" s="2"/>
      <c r="K64" s="49"/>
      <c r="L64" s="1"/>
      <c r="M64" s="245" t="s">
        <v>67</v>
      </c>
      <c r="N64" s="2"/>
      <c r="O64" s="49"/>
      <c r="P64" s="1"/>
      <c r="T64" s="321"/>
      <c r="V64" s="1231"/>
      <c r="W64" s="1232"/>
      <c r="X64" s="1174"/>
    </row>
    <row r="65" spans="1:24" ht="12" customHeight="1">
      <c r="A65" s="2"/>
      <c r="B65" s="210"/>
      <c r="C65" s="206"/>
      <c r="D65" s="236" t="s">
        <v>65</v>
      </c>
      <c r="E65" s="355"/>
      <c r="F65" s="2"/>
      <c r="G65" s="2"/>
      <c r="H65" s="325">
        <f>SUM(H70:H81)</f>
        <v>0</v>
      </c>
      <c r="I65" s="326"/>
      <c r="J65" s="2"/>
      <c r="K65" s="49"/>
      <c r="L65" s="1"/>
      <c r="M65" s="1191">
        <f>SUM(M70:M81)</f>
        <v>0</v>
      </c>
      <c r="N65" s="326"/>
      <c r="O65" s="49"/>
      <c r="P65" s="1"/>
      <c r="S65" s="323">
        <f>H65+M65</f>
        <v>0</v>
      </c>
      <c r="T65" s="321"/>
      <c r="V65" s="1231"/>
      <c r="W65" s="1232"/>
      <c r="X65" s="1174"/>
    </row>
    <row r="66" spans="1:24" ht="12" customHeight="1">
      <c r="A66" s="2"/>
      <c r="B66" s="210"/>
      <c r="C66" s="206"/>
      <c r="D66" s="236" t="s">
        <v>74</v>
      </c>
      <c r="E66" s="356"/>
      <c r="F66" s="2"/>
      <c r="G66" s="2"/>
      <c r="H66" s="338">
        <f>H65*SUM(E65,E66)</f>
        <v>0</v>
      </c>
      <c r="I66" s="327" t="str">
        <f>IF(H66&gt;0,"SWS","")</f>
        <v/>
      </c>
      <c r="J66" s="2"/>
      <c r="K66" s="49"/>
      <c r="L66" s="1"/>
      <c r="M66" s="1192">
        <f>M65*SUM(E65,E66)</f>
        <v>0</v>
      </c>
      <c r="N66" s="327" t="str">
        <f>IF(M66&gt;0,"SWS","")</f>
        <v/>
      </c>
      <c r="O66" s="49"/>
      <c r="P66" s="1"/>
      <c r="S66" s="55">
        <f>SUM(H66,M66)</f>
        <v>0</v>
      </c>
      <c r="T66" s="321"/>
      <c r="V66" s="1231"/>
      <c r="W66" s="1232"/>
      <c r="X66" s="1174"/>
    </row>
    <row r="67" spans="1:24" ht="10.5">
      <c r="A67" s="2"/>
      <c r="B67" s="13"/>
      <c r="C67" s="2"/>
      <c r="D67" s="2"/>
      <c r="E67" s="324">
        <f>SUM(E65:E66)</f>
        <v>0</v>
      </c>
      <c r="F67" s="2"/>
      <c r="G67" s="2"/>
      <c r="H67" s="2"/>
      <c r="I67" s="2"/>
      <c r="J67" s="2"/>
      <c r="K67" s="49"/>
      <c r="L67" s="1"/>
      <c r="M67" s="244"/>
      <c r="N67" s="2"/>
      <c r="O67" s="49"/>
      <c r="P67" s="49"/>
      <c r="Q67" s="49"/>
      <c r="R67" s="49"/>
      <c r="S67" s="49"/>
      <c r="T67" s="321"/>
      <c r="V67" s="1231"/>
      <c r="W67" s="1232"/>
      <c r="X67" s="1174"/>
    </row>
    <row r="68" spans="1:24">
      <c r="A68" s="2"/>
      <c r="B68" s="13"/>
      <c r="C68" s="2"/>
      <c r="D68" s="2"/>
      <c r="F68" s="2"/>
      <c r="G68" s="2"/>
      <c r="H68" s="2"/>
      <c r="I68" s="2"/>
      <c r="J68" s="2"/>
      <c r="K68" s="113" t="s">
        <v>97</v>
      </c>
      <c r="L68" s="1"/>
      <c r="M68" s="244"/>
      <c r="N68" s="2"/>
      <c r="O68" s="49"/>
      <c r="P68" s="113" t="s">
        <v>97</v>
      </c>
      <c r="Q68" s="49"/>
      <c r="R68" s="49"/>
      <c r="S68" s="49"/>
      <c r="T68" s="321"/>
      <c r="V68" s="1231"/>
      <c r="W68" s="1232"/>
      <c r="X68" s="1174"/>
    </row>
    <row r="69" spans="1:24" ht="13.4" customHeight="1">
      <c r="A69" s="2"/>
      <c r="B69" s="13"/>
      <c r="C69" s="2"/>
      <c r="D69" s="2"/>
      <c r="E69" s="114"/>
      <c r="F69" s="2"/>
      <c r="G69" s="2"/>
      <c r="H69" s="113" t="s">
        <v>83</v>
      </c>
      <c r="I69" s="113" t="s">
        <v>31</v>
      </c>
      <c r="J69" s="113" t="s">
        <v>32</v>
      </c>
      <c r="K69" s="113" t="s">
        <v>96</v>
      </c>
      <c r="L69" s="113" t="s">
        <v>94</v>
      </c>
      <c r="M69" s="319" t="s">
        <v>83</v>
      </c>
      <c r="N69" s="113" t="s">
        <v>31</v>
      </c>
      <c r="O69" s="113" t="s">
        <v>32</v>
      </c>
      <c r="P69" s="113" t="s">
        <v>96</v>
      </c>
      <c r="Q69" s="113" t="s">
        <v>94</v>
      </c>
      <c r="R69" s="113"/>
      <c r="S69" s="49"/>
      <c r="T69" s="321"/>
      <c r="V69" s="1231"/>
      <c r="W69" s="1232"/>
      <c r="X69" s="1174"/>
    </row>
    <row r="70" spans="1:24" ht="11.15" customHeight="1">
      <c r="A70" s="2"/>
      <c r="B70" s="13"/>
      <c r="C70" s="2"/>
      <c r="D70" s="725"/>
      <c r="E70" s="725"/>
      <c r="F70" s="731" t="s">
        <v>201</v>
      </c>
      <c r="G70" s="2"/>
      <c r="H70" s="371"/>
      <c r="I70" s="372"/>
      <c r="J70" s="373"/>
      <c r="K70" s="374"/>
      <c r="L70" s="337">
        <f>IFERROR($E$67*H70*I70/J70*K70,0)</f>
        <v>0</v>
      </c>
      <c r="M70" s="376"/>
      <c r="N70" s="372"/>
      <c r="O70" s="373"/>
      <c r="P70" s="374"/>
      <c r="Q70" s="115">
        <f>IFERROR($E$67*M70*N70/O70*P70,0)</f>
        <v>0</v>
      </c>
      <c r="R70" s="342"/>
      <c r="S70" s="49"/>
      <c r="T70" s="321"/>
      <c r="V70" s="1200"/>
      <c r="W70" s="1201"/>
      <c r="X70" s="1202"/>
    </row>
    <row r="71" spans="1:24" ht="11.15" customHeight="1">
      <c r="B71" s="13"/>
      <c r="C71" s="2"/>
      <c r="D71" s="726"/>
      <c r="E71" s="726"/>
      <c r="F71" s="732" t="s">
        <v>202</v>
      </c>
      <c r="G71" s="2"/>
      <c r="H71" s="375"/>
      <c r="I71" s="372"/>
      <c r="J71" s="373"/>
      <c r="K71" s="374"/>
      <c r="L71" s="337">
        <f>IFERROR($E$67*H71*I71/J71*K71,0)</f>
        <v>0</v>
      </c>
      <c r="M71" s="377"/>
      <c r="N71" s="372"/>
      <c r="O71" s="373"/>
      <c r="P71" s="374"/>
      <c r="Q71" s="115">
        <f t="shared" ref="Q71:Q81" si="0">IFERROR($E$67*M71*N71/O71*P71,0)</f>
        <v>0</v>
      </c>
      <c r="R71" s="342"/>
      <c r="S71" s="49"/>
      <c r="T71" s="321"/>
      <c r="V71" s="1200"/>
      <c r="W71" s="1201"/>
      <c r="X71" s="1202"/>
    </row>
    <row r="72" spans="1:24" ht="11.5" customHeight="1">
      <c r="B72" s="13"/>
      <c r="C72" s="2"/>
      <c r="D72" s="726"/>
      <c r="E72" s="726"/>
      <c r="F72" s="732" t="s">
        <v>203</v>
      </c>
      <c r="G72" s="2"/>
      <c r="H72" s="375"/>
      <c r="I72" s="372"/>
      <c r="J72" s="373"/>
      <c r="K72" s="374"/>
      <c r="L72" s="337">
        <f t="shared" ref="L72:L81" si="1">IFERROR($E$67*H72*I72/J72*K72,0)</f>
        <v>0</v>
      </c>
      <c r="M72" s="377"/>
      <c r="N72" s="372"/>
      <c r="O72" s="373"/>
      <c r="P72" s="374"/>
      <c r="Q72" s="115">
        <f t="shared" si="0"/>
        <v>0</v>
      </c>
      <c r="R72" s="342"/>
      <c r="S72" s="49"/>
      <c r="T72" s="321"/>
      <c r="V72" s="1200"/>
      <c r="W72" s="1201"/>
      <c r="X72" s="1202"/>
    </row>
    <row r="73" spans="1:24">
      <c r="B73" s="13"/>
      <c r="C73" s="2"/>
      <c r="D73" s="726"/>
      <c r="E73" s="726"/>
      <c r="F73" s="732"/>
      <c r="G73" s="2"/>
      <c r="H73" s="375"/>
      <c r="I73" s="372"/>
      <c r="J73" s="373"/>
      <c r="K73" s="374"/>
      <c r="L73" s="337">
        <f t="shared" si="1"/>
        <v>0</v>
      </c>
      <c r="M73" s="377"/>
      <c r="N73" s="372"/>
      <c r="O73" s="373"/>
      <c r="P73" s="374"/>
      <c r="Q73" s="115">
        <f t="shared" si="0"/>
        <v>0</v>
      </c>
      <c r="R73" s="342"/>
      <c r="S73" s="49"/>
      <c r="T73" s="321"/>
      <c r="V73" s="1200"/>
      <c r="W73" s="1201"/>
      <c r="X73" s="1202"/>
    </row>
    <row r="74" spans="1:24">
      <c r="B74" s="13"/>
      <c r="C74" s="2"/>
      <c r="D74" s="727"/>
      <c r="E74" s="728"/>
      <c r="F74" s="732"/>
      <c r="G74" s="2"/>
      <c r="H74" s="375"/>
      <c r="I74" s="372"/>
      <c r="J74" s="373"/>
      <c r="K74" s="374"/>
      <c r="L74" s="337">
        <f t="shared" si="1"/>
        <v>0</v>
      </c>
      <c r="M74" s="377"/>
      <c r="N74" s="372"/>
      <c r="O74" s="373"/>
      <c r="P74" s="374"/>
      <c r="Q74" s="115">
        <f t="shared" si="0"/>
        <v>0</v>
      </c>
      <c r="R74" s="342"/>
      <c r="S74" s="49"/>
      <c r="T74" s="321"/>
      <c r="V74" s="1200"/>
      <c r="W74" s="1201"/>
      <c r="X74" s="1202"/>
    </row>
    <row r="75" spans="1:24">
      <c r="B75" s="13"/>
      <c r="C75" s="2"/>
      <c r="D75" s="727"/>
      <c r="E75" s="728"/>
      <c r="F75" s="732"/>
      <c r="G75" s="2"/>
      <c r="H75" s="375"/>
      <c r="I75" s="372"/>
      <c r="J75" s="373"/>
      <c r="K75" s="374"/>
      <c r="L75" s="337">
        <f t="shared" si="1"/>
        <v>0</v>
      </c>
      <c r="M75" s="377"/>
      <c r="N75" s="372"/>
      <c r="O75" s="373"/>
      <c r="P75" s="374"/>
      <c r="Q75" s="115">
        <f t="shared" si="0"/>
        <v>0</v>
      </c>
      <c r="R75" s="342"/>
      <c r="S75" s="49"/>
      <c r="T75" s="321"/>
      <c r="V75" s="1200"/>
      <c r="W75" s="1201"/>
      <c r="X75" s="1202"/>
    </row>
    <row r="76" spans="1:24">
      <c r="B76" s="13"/>
      <c r="C76" s="2"/>
      <c r="D76" s="727"/>
      <c r="E76" s="728"/>
      <c r="F76" s="732"/>
      <c r="G76" s="2"/>
      <c r="H76" s="375"/>
      <c r="I76" s="372"/>
      <c r="J76" s="373"/>
      <c r="K76" s="374"/>
      <c r="L76" s="337">
        <f t="shared" si="1"/>
        <v>0</v>
      </c>
      <c r="M76" s="377"/>
      <c r="N76" s="372"/>
      <c r="O76" s="373"/>
      <c r="P76" s="374"/>
      <c r="Q76" s="115">
        <f t="shared" si="0"/>
        <v>0</v>
      </c>
      <c r="R76" s="342"/>
      <c r="S76" s="49"/>
      <c r="T76" s="321"/>
      <c r="V76" s="1200"/>
      <c r="W76" s="1201"/>
      <c r="X76" s="1202"/>
    </row>
    <row r="77" spans="1:24">
      <c r="B77" s="13"/>
      <c r="C77" s="2"/>
      <c r="D77" s="727"/>
      <c r="E77" s="728"/>
      <c r="F77" s="732"/>
      <c r="G77" s="2"/>
      <c r="H77" s="375"/>
      <c r="I77" s="372"/>
      <c r="J77" s="373"/>
      <c r="K77" s="374"/>
      <c r="L77" s="337">
        <f t="shared" si="1"/>
        <v>0</v>
      </c>
      <c r="M77" s="377"/>
      <c r="N77" s="372"/>
      <c r="O77" s="373"/>
      <c r="P77" s="374"/>
      <c r="Q77" s="115">
        <f t="shared" si="0"/>
        <v>0</v>
      </c>
      <c r="R77" s="342"/>
      <c r="S77" s="49"/>
      <c r="T77" s="321"/>
      <c r="V77" s="1200"/>
      <c r="W77" s="1201"/>
      <c r="X77" s="1202"/>
    </row>
    <row r="78" spans="1:24">
      <c r="B78" s="13"/>
      <c r="C78" s="2"/>
      <c r="D78" s="727"/>
      <c r="E78" s="728"/>
      <c r="F78" s="732"/>
      <c r="G78" s="2"/>
      <c r="H78" s="375"/>
      <c r="I78" s="372"/>
      <c r="J78" s="373"/>
      <c r="K78" s="374"/>
      <c r="L78" s="337">
        <f t="shared" si="1"/>
        <v>0</v>
      </c>
      <c r="M78" s="377"/>
      <c r="N78" s="372"/>
      <c r="O78" s="373"/>
      <c r="P78" s="374"/>
      <c r="Q78" s="115">
        <f t="shared" si="0"/>
        <v>0</v>
      </c>
      <c r="R78" s="342"/>
      <c r="S78" s="49"/>
      <c r="T78" s="321"/>
      <c r="V78" s="1200"/>
      <c r="W78" s="1201"/>
      <c r="X78" s="1202"/>
    </row>
    <row r="79" spans="1:24">
      <c r="B79" s="13"/>
      <c r="C79" s="2"/>
      <c r="D79" s="727"/>
      <c r="E79" s="728"/>
      <c r="F79" s="732"/>
      <c r="G79" s="2"/>
      <c r="H79" s="375"/>
      <c r="I79" s="372"/>
      <c r="J79" s="373"/>
      <c r="K79" s="374"/>
      <c r="L79" s="337">
        <f t="shared" si="1"/>
        <v>0</v>
      </c>
      <c r="M79" s="377"/>
      <c r="N79" s="372"/>
      <c r="O79" s="373"/>
      <c r="P79" s="374"/>
      <c r="Q79" s="115">
        <f t="shared" si="0"/>
        <v>0</v>
      </c>
      <c r="R79" s="342"/>
      <c r="S79" s="49"/>
      <c r="T79" s="321"/>
      <c r="V79" s="1200"/>
      <c r="W79" s="1201"/>
      <c r="X79" s="1202"/>
    </row>
    <row r="80" spans="1:24">
      <c r="B80" s="13"/>
      <c r="C80" s="2"/>
      <c r="D80" s="727"/>
      <c r="E80" s="728"/>
      <c r="F80" s="732"/>
      <c r="G80" s="2"/>
      <c r="H80" s="375"/>
      <c r="I80" s="372"/>
      <c r="J80" s="373"/>
      <c r="K80" s="374"/>
      <c r="L80" s="337">
        <f t="shared" si="1"/>
        <v>0</v>
      </c>
      <c r="M80" s="377"/>
      <c r="N80" s="372"/>
      <c r="O80" s="373"/>
      <c r="P80" s="374"/>
      <c r="Q80" s="115">
        <f t="shared" si="0"/>
        <v>0</v>
      </c>
      <c r="R80" s="342"/>
      <c r="S80" s="49"/>
      <c r="T80" s="321"/>
      <c r="V80" s="1200"/>
      <c r="W80" s="1201"/>
      <c r="X80" s="1202"/>
    </row>
    <row r="81" spans="1:24">
      <c r="B81" s="13"/>
      <c r="C81" s="2"/>
      <c r="D81" s="729"/>
      <c r="E81" s="730"/>
      <c r="F81" s="733"/>
      <c r="G81" s="2"/>
      <c r="H81" s="375"/>
      <c r="I81" s="372"/>
      <c r="J81" s="373"/>
      <c r="K81" s="374"/>
      <c r="L81" s="337">
        <f t="shared" si="1"/>
        <v>0</v>
      </c>
      <c r="M81" s="377"/>
      <c r="N81" s="372"/>
      <c r="O81" s="373"/>
      <c r="P81" s="374"/>
      <c r="Q81" s="115">
        <f t="shared" si="0"/>
        <v>0</v>
      </c>
      <c r="R81" s="342"/>
      <c r="S81" s="49"/>
      <c r="T81" s="321"/>
      <c r="V81" s="1200"/>
      <c r="W81" s="1201"/>
      <c r="X81" s="1202"/>
    </row>
    <row r="82" spans="1:24">
      <c r="B82" s="13"/>
      <c r="C82" s="2"/>
      <c r="D82" s="2"/>
      <c r="E82" s="2"/>
      <c r="F82" s="2"/>
      <c r="G82" s="2"/>
      <c r="H82" s="49"/>
      <c r="I82" s="2"/>
      <c r="J82" s="49"/>
      <c r="L82" s="49"/>
      <c r="M82" s="335"/>
      <c r="N82" s="49"/>
      <c r="O82" s="49"/>
      <c r="P82" s="49"/>
      <c r="Q82" s="49"/>
      <c r="R82" s="49"/>
      <c r="S82" s="208" t="s">
        <v>99</v>
      </c>
      <c r="T82" s="321"/>
      <c r="V82" s="1231"/>
      <c r="W82" s="1232"/>
      <c r="X82" s="1174"/>
    </row>
    <row r="83" spans="1:24" ht="12" customHeight="1">
      <c r="B83" s="13"/>
      <c r="C83" s="2"/>
      <c r="D83" s="236" t="s">
        <v>182</v>
      </c>
      <c r="E83" s="2"/>
      <c r="F83" s="2"/>
      <c r="G83" s="2"/>
      <c r="H83" s="49"/>
      <c r="I83" s="2"/>
      <c r="K83" s="116" t="s">
        <v>196</v>
      </c>
      <c r="L83" s="357"/>
      <c r="M83" s="336"/>
      <c r="N83" s="1"/>
      <c r="O83" s="1"/>
      <c r="P83" s="116" t="s">
        <v>196</v>
      </c>
      <c r="Q83" s="358"/>
      <c r="R83" s="343"/>
      <c r="S83" s="208" t="s">
        <v>98</v>
      </c>
      <c r="T83" s="321"/>
      <c r="V83" s="1231"/>
      <c r="W83" s="1232"/>
      <c r="X83" s="1174"/>
    </row>
    <row r="84" spans="1:24" ht="12" customHeight="1">
      <c r="B84" s="13"/>
      <c r="C84" s="2"/>
      <c r="D84" s="236" t="s">
        <v>183</v>
      </c>
      <c r="E84" s="350"/>
      <c r="F84" s="2"/>
      <c r="G84" s="2"/>
      <c r="H84" s="49"/>
      <c r="I84" s="2"/>
      <c r="J84" s="49"/>
      <c r="K84" s="435" t="s">
        <v>26</v>
      </c>
      <c r="L84" s="334">
        <f>IF(L83=0,SUM(L70:L81),L83)</f>
        <v>0</v>
      </c>
      <c r="M84" s="336"/>
      <c r="N84" s="1"/>
      <c r="O84" s="1"/>
      <c r="P84" s="435" t="s">
        <v>26</v>
      </c>
      <c r="Q84" s="118">
        <f>IF(Q83=0,SUM(Q70:Q81),Q83)</f>
        <v>0</v>
      </c>
      <c r="R84" s="344"/>
      <c r="S84" s="118">
        <f>L84+Q84*'HAW-Kennwerte'!$R$30</f>
        <v>0</v>
      </c>
      <c r="T84" s="321"/>
      <c r="V84" s="1200"/>
      <c r="W84" s="1201"/>
      <c r="X84" s="1202"/>
    </row>
    <row r="85" spans="1:24" ht="10.5">
      <c r="B85" s="13"/>
      <c r="C85" s="2"/>
      <c r="D85" s="2"/>
      <c r="E85" s="2"/>
      <c r="F85" s="2"/>
      <c r="G85" s="2"/>
      <c r="H85" s="49"/>
      <c r="I85" s="2"/>
      <c r="J85" s="49"/>
      <c r="K85" s="242"/>
      <c r="L85" s="2"/>
      <c r="M85" s="336"/>
      <c r="N85" s="1"/>
      <c r="O85" s="1"/>
      <c r="P85" s="49"/>
      <c r="Q85" s="242"/>
      <c r="R85" s="242"/>
      <c r="S85" s="242"/>
      <c r="T85" s="321"/>
      <c r="V85" s="1231"/>
      <c r="W85" s="1232"/>
      <c r="X85" s="1174"/>
    </row>
    <row r="86" spans="1:24" ht="12" customHeight="1">
      <c r="B86" s="13"/>
      <c r="C86" s="2"/>
      <c r="D86" s="716" t="s">
        <v>194</v>
      </c>
      <c r="E86" s="479" t="s">
        <v>195</v>
      </c>
      <c r="F86" s="2"/>
      <c r="G86" s="2"/>
      <c r="I86" s="2"/>
      <c r="J86" s="208"/>
      <c r="K86" s="242"/>
      <c r="L86" s="204"/>
      <c r="M86" s="204"/>
      <c r="N86" s="203"/>
      <c r="O86" s="203"/>
      <c r="P86" s="791"/>
      <c r="Q86" s="202"/>
      <c r="R86" s="607"/>
      <c r="S86" s="607"/>
      <c r="T86" s="321"/>
      <c r="V86" s="1231"/>
      <c r="W86" s="1232"/>
      <c r="X86" s="1174"/>
    </row>
    <row r="87" spans="1:24" ht="12" customHeight="1">
      <c r="B87" s="13"/>
      <c r="C87" s="2"/>
      <c r="D87" s="2"/>
      <c r="E87" s="2"/>
      <c r="F87" s="2"/>
      <c r="G87" s="2"/>
      <c r="H87" s="49"/>
      <c r="I87" s="2"/>
      <c r="J87" s="202"/>
      <c r="K87" s="206">
        <f>IF($Q$87&gt;2023,$Q$87-6,"")</f>
        <v>2019</v>
      </c>
      <c r="L87" s="206">
        <f>IF($Q$87&gt;2023,$Q$87-5,"")</f>
        <v>2020</v>
      </c>
      <c r="M87" s="206">
        <f>IF($Q$87&gt;2023,$Q$87-4,"")</f>
        <v>2021</v>
      </c>
      <c r="N87" s="206">
        <f>IF($Q$87&gt;2023,$Q$87-3,"")</f>
        <v>2022</v>
      </c>
      <c r="O87" s="206">
        <f>IF($Q$87&gt;2023,$Q$87-2,"")</f>
        <v>2023</v>
      </c>
      <c r="P87" s="206">
        <f>IF($Q$87&gt;2023,$Q$87-1,"")</f>
        <v>2024</v>
      </c>
      <c r="Q87" s="711">
        <v>2025</v>
      </c>
      <c r="R87" s="50"/>
      <c r="S87" s="202"/>
      <c r="T87" s="321"/>
      <c r="V87" s="1231"/>
      <c r="W87" s="1232"/>
      <c r="X87" s="1174"/>
    </row>
    <row r="88" spans="1:24" ht="12" customHeight="1">
      <c r="B88" s="13"/>
      <c r="C88" s="2"/>
      <c r="D88" s="2"/>
      <c r="E88" s="2"/>
      <c r="F88" s="2"/>
      <c r="G88" s="2"/>
      <c r="H88" s="49"/>
      <c r="I88" s="2"/>
      <c r="J88" s="435" t="s">
        <v>245</v>
      </c>
      <c r="K88" s="792"/>
      <c r="L88" s="792"/>
      <c r="M88" s="792"/>
      <c r="N88" s="792"/>
      <c r="O88" s="792"/>
      <c r="P88" s="792"/>
      <c r="Q88" s="792"/>
      <c r="R88" s="50"/>
      <c r="S88" s="744">
        <f>IF(S89&gt;0,IF(S89&gt;1,0,S89),IFERROR(IF((K88*3+L88*4+M88*5+N88*6+O88*7+P88*8+Q88*9)/42&gt;1,1,(K88*3+L88*4+M88*5+N88*6+O88*7+P88*8+Q88*9)/42),""))</f>
        <v>0</v>
      </c>
      <c r="T88" s="321"/>
      <c r="V88" s="1233"/>
      <c r="W88" s="1234"/>
      <c r="X88" s="1235"/>
    </row>
    <row r="89" spans="1:24" ht="12" customHeight="1">
      <c r="B89" s="13"/>
      <c r="C89" s="2"/>
      <c r="D89" s="2"/>
      <c r="E89" s="2"/>
      <c r="F89" s="2"/>
      <c r="G89" s="2"/>
      <c r="H89" s="49"/>
      <c r="I89" s="2"/>
      <c r="J89" s="208"/>
      <c r="K89" s="743" t="s">
        <v>246</v>
      </c>
      <c r="L89" s="203"/>
      <c r="M89" s="203"/>
      <c r="N89" s="203"/>
      <c r="O89" s="203"/>
      <c r="P89" s="607"/>
      <c r="Q89" s="202"/>
      <c r="R89" s="50"/>
      <c r="S89" s="1188"/>
      <c r="T89" s="321"/>
    </row>
    <row r="90" spans="1:24">
      <c r="B90" s="211"/>
      <c r="C90" s="46"/>
      <c r="D90" s="46"/>
      <c r="E90" s="46"/>
      <c r="F90" s="46"/>
      <c r="G90" s="46"/>
      <c r="H90" s="46"/>
      <c r="I90" s="46"/>
      <c r="J90" s="119"/>
      <c r="K90" s="46"/>
      <c r="L90" s="119"/>
      <c r="M90" s="46"/>
      <c r="N90" s="119"/>
      <c r="O90" s="230"/>
      <c r="P90" s="119"/>
      <c r="Q90" s="119"/>
      <c r="R90" s="119"/>
      <c r="S90" s="119"/>
      <c r="T90" s="322"/>
    </row>
    <row r="91" spans="1:24">
      <c r="B91" s="12" t="s">
        <v>100</v>
      </c>
      <c r="H91" s="2"/>
      <c r="I91" s="2"/>
      <c r="J91" s="49"/>
      <c r="K91" s="2"/>
      <c r="L91" s="49"/>
      <c r="M91" s="2"/>
      <c r="N91" s="49"/>
      <c r="O91" s="49"/>
      <c r="P91" s="49"/>
      <c r="Q91" s="49"/>
      <c r="R91" s="49"/>
      <c r="S91" s="49"/>
      <c r="T91" s="121"/>
    </row>
    <row r="92" spans="1:24">
      <c r="A92" s="106"/>
      <c r="B92" s="209" t="s">
        <v>68</v>
      </c>
      <c r="C92" s="106"/>
      <c r="D92" s="106"/>
      <c r="E92" s="106"/>
      <c r="F92" s="106"/>
      <c r="G92" s="106"/>
      <c r="H92" s="106"/>
      <c r="I92" s="106"/>
      <c r="J92" s="107"/>
      <c r="K92" s="106"/>
      <c r="L92" s="107"/>
      <c r="M92" s="106"/>
      <c r="N92" s="107"/>
      <c r="O92" s="107"/>
      <c r="P92" s="107"/>
      <c r="Q92" s="107"/>
      <c r="R92" s="107"/>
      <c r="S92" s="107"/>
      <c r="T92" s="107"/>
    </row>
    <row r="93" spans="1:24">
      <c r="Q93" s="201"/>
      <c r="R93" s="201"/>
      <c r="S93" s="201" t="str">
        <f>HAW!B28</f>
        <v>Kennwertverfahren NRW für HAW; HIS-Institut für Hochschulentwicklung e.V. (24.04.2026)</v>
      </c>
      <c r="T93" s="201"/>
    </row>
    <row r="95" spans="1:24">
      <c r="B95" s="229"/>
      <c r="C95" s="202"/>
    </row>
    <row r="96" spans="1:24" ht="10.5">
      <c r="B96" s="794" t="str">
        <f>IF(B8=0,B7,CONCATENATE(B7,B8))</f>
        <v>Hochschule …</v>
      </c>
      <c r="C96" s="795"/>
      <c r="D96" s="795"/>
      <c r="E96" s="795"/>
      <c r="F96" s="795"/>
      <c r="G96" s="795"/>
      <c r="H96" s="795"/>
      <c r="I96" s="795"/>
      <c r="J96" s="796"/>
      <c r="K96" s="795"/>
      <c r="L96" s="796"/>
      <c r="M96" s="795"/>
      <c r="N96" s="796"/>
      <c r="O96" s="796"/>
      <c r="P96" s="796"/>
      <c r="Q96" s="796"/>
      <c r="R96" s="796"/>
      <c r="S96" s="796"/>
    </row>
    <row r="97" spans="2:19">
      <c r="B97" s="795" t="str">
        <f>B9</f>
        <v>[Fakultät/Fachbereich]</v>
      </c>
      <c r="C97" s="795"/>
      <c r="D97" s="795"/>
      <c r="E97" s="795"/>
      <c r="F97" s="795"/>
      <c r="G97" s="795"/>
      <c r="H97" s="795"/>
      <c r="I97" s="795"/>
      <c r="J97" s="796"/>
      <c r="K97" s="795"/>
      <c r="L97" s="796"/>
      <c r="M97" s="795"/>
      <c r="N97" s="796"/>
      <c r="O97" s="796"/>
      <c r="P97" s="796"/>
      <c r="Q97" s="796"/>
      <c r="R97" s="796"/>
      <c r="S97" s="796"/>
    </row>
    <row r="98" spans="2:19">
      <c r="B98" s="795" t="str">
        <f>B10</f>
        <v>[Department, Institut o.a.]</v>
      </c>
      <c r="C98" s="795"/>
      <c r="D98" s="795"/>
      <c r="E98" s="795"/>
      <c r="F98" s="795"/>
      <c r="G98" s="795"/>
      <c r="H98" s="795"/>
      <c r="I98" s="795"/>
      <c r="J98" s="796"/>
      <c r="K98" s="795"/>
      <c r="L98" s="796"/>
      <c r="M98" s="795"/>
      <c r="N98" s="796"/>
      <c r="O98" s="796"/>
      <c r="P98" s="796"/>
      <c r="Q98" s="796"/>
      <c r="R98" s="796"/>
      <c r="S98" s="796"/>
    </row>
    <row r="99" spans="2:19">
      <c r="B99" s="795" t="str">
        <f>CONCATENATE(B12,": ",B13)</f>
        <v>Lehr- und Forschungsbereich: Maschinenbau</v>
      </c>
      <c r="C99" s="795"/>
      <c r="D99" s="795"/>
      <c r="E99" s="795"/>
      <c r="F99" s="795"/>
      <c r="G99" s="795"/>
      <c r="H99" s="795"/>
      <c r="I99" s="795"/>
      <c r="J99" s="796"/>
      <c r="K99" s="795"/>
      <c r="L99" s="796"/>
      <c r="M99" s="795"/>
      <c r="N99" s="796"/>
      <c r="O99" s="796"/>
      <c r="P99" s="796"/>
      <c r="Q99" s="796"/>
      <c r="R99" s="796"/>
      <c r="S99" s="796"/>
    </row>
    <row r="100" spans="2:19">
      <c r="B100" s="202"/>
      <c r="C100" s="202"/>
      <c r="D100" s="202"/>
      <c r="E100" s="202"/>
      <c r="F100" s="202"/>
      <c r="G100" s="202"/>
      <c r="H100" s="202"/>
      <c r="I100" s="202"/>
      <c r="J100" s="607"/>
      <c r="K100" s="202"/>
      <c r="L100" s="607"/>
      <c r="M100" s="202"/>
      <c r="N100" s="607"/>
      <c r="O100" s="607"/>
      <c r="P100" s="607"/>
      <c r="Q100" s="607"/>
      <c r="R100" s="607"/>
      <c r="S100" s="607"/>
    </row>
    <row r="101" spans="2:19">
      <c r="B101" s="110" t="s">
        <v>235</v>
      </c>
      <c r="C101" s="206"/>
      <c r="D101" s="206"/>
      <c r="E101" s="206"/>
      <c r="F101" s="206"/>
      <c r="G101" s="206"/>
      <c r="H101" s="206"/>
      <c r="I101" s="206"/>
      <c r="J101" s="208"/>
      <c r="K101" s="206"/>
      <c r="L101" s="208"/>
      <c r="M101" s="206"/>
      <c r="N101" s="208"/>
      <c r="O101" s="208"/>
      <c r="P101" s="208"/>
      <c r="Q101" s="208"/>
      <c r="R101" s="208"/>
      <c r="S101" s="208"/>
    </row>
    <row r="102" spans="2:19">
      <c r="B102" s="909"/>
      <c r="C102" s="910"/>
      <c r="D102" s="910"/>
      <c r="E102" s="910"/>
      <c r="F102" s="910"/>
      <c r="G102" s="910"/>
      <c r="H102" s="910"/>
      <c r="I102" s="910"/>
      <c r="J102" s="544"/>
      <c r="K102" s="910"/>
      <c r="L102" s="544"/>
      <c r="M102" s="910"/>
      <c r="N102" s="544"/>
      <c r="O102" s="544"/>
      <c r="P102" s="544"/>
      <c r="Q102" s="544"/>
      <c r="R102" s="544"/>
      <c r="S102" s="1173"/>
    </row>
    <row r="103" spans="2:19" ht="10.5">
      <c r="B103" s="210"/>
      <c r="C103" s="206"/>
      <c r="D103" s="206"/>
      <c r="E103" s="206"/>
      <c r="F103" s="206"/>
      <c r="G103" s="1166" t="s">
        <v>249</v>
      </c>
      <c r="H103" s="797">
        <f>SUM(H107:H156)</f>
        <v>0</v>
      </c>
      <c r="I103" s="206"/>
      <c r="J103" s="208"/>
      <c r="K103" s="206"/>
      <c r="L103" s="208"/>
      <c r="M103" s="206"/>
      <c r="N103" s="208"/>
      <c r="O103" s="1166" t="s">
        <v>265</v>
      </c>
      <c r="P103" s="1353">
        <f>SUMPRODUCT(H107:H156,P107:P156)+SUMPRODUCT(H107:H156,Q107:Q156)</f>
        <v>0</v>
      </c>
      <c r="Q103" s="1354"/>
      <c r="R103" s="208"/>
      <c r="S103" s="1174"/>
    </row>
    <row r="104" spans="2:19">
      <c r="B104" s="210"/>
      <c r="C104" s="206"/>
      <c r="D104" s="206"/>
      <c r="E104" s="206"/>
      <c r="F104" s="206"/>
      <c r="G104" s="207"/>
      <c r="H104" s="798"/>
      <c r="I104" s="206"/>
      <c r="J104" s="208"/>
      <c r="K104" s="206"/>
      <c r="L104" s="208"/>
      <c r="M104" s="206"/>
      <c r="N104" s="208"/>
      <c r="O104" s="207"/>
      <c r="P104" s="799" t="str">
        <f>IF($P103=0,"",SUMPRODUCT($H107:$H156,P107:P156)/$P103)</f>
        <v/>
      </c>
      <c r="Q104" s="799" t="str">
        <f>IF($P103=0,"",SUMPRODUCT($H107:$H156,Q107:Q156)/$P103)</f>
        <v/>
      </c>
      <c r="R104" s="208"/>
      <c r="S104" s="1174"/>
    </row>
    <row r="105" spans="2:19" ht="10.5">
      <c r="B105" s="210"/>
      <c r="C105" s="206"/>
      <c r="D105" s="206"/>
      <c r="E105" s="206"/>
      <c r="F105" s="206"/>
      <c r="G105" s="206"/>
      <c r="H105" s="206"/>
      <c r="I105" s="206"/>
      <c r="J105" s="208"/>
      <c r="K105" s="206"/>
      <c r="L105" s="208"/>
      <c r="M105" s="206"/>
      <c r="N105" s="208"/>
      <c r="O105" s="208"/>
      <c r="P105" s="1355"/>
      <c r="Q105" s="1355"/>
      <c r="R105" s="208"/>
      <c r="S105" s="1174"/>
    </row>
    <row r="106" spans="2:19" ht="10.5">
      <c r="B106" s="1175" t="s">
        <v>250</v>
      </c>
      <c r="C106" s="800" t="s">
        <v>251</v>
      </c>
      <c r="D106" s="238"/>
      <c r="E106" s="238"/>
      <c r="F106" s="238"/>
      <c r="G106" s="238"/>
      <c r="H106" s="239" t="s">
        <v>252</v>
      </c>
      <c r="I106" s="238" t="s">
        <v>253</v>
      </c>
      <c r="J106" s="238"/>
      <c r="K106" s="239"/>
      <c r="L106" s="238"/>
      <c r="M106" s="239"/>
      <c r="N106" s="208"/>
      <c r="O106" s="801" t="s">
        <v>88</v>
      </c>
      <c r="P106" s="239" t="s">
        <v>84</v>
      </c>
      <c r="Q106" s="239" t="s">
        <v>85</v>
      </c>
      <c r="R106" s="208"/>
      <c r="S106" s="1174"/>
    </row>
    <row r="107" spans="2:19">
      <c r="B107" s="210" t="str">
        <f>IF(COUNTA(C107)=1,1,"")</f>
        <v/>
      </c>
      <c r="C107" s="802"/>
      <c r="D107" s="803"/>
      <c r="E107" s="803"/>
      <c r="F107" s="803"/>
      <c r="G107" s="803"/>
      <c r="H107" s="804"/>
      <c r="I107" s="802"/>
      <c r="J107" s="803"/>
      <c r="K107" s="803"/>
      <c r="L107" s="803"/>
      <c r="M107" s="803"/>
      <c r="N107" s="803"/>
      <c r="O107" s="805"/>
      <c r="P107" s="806"/>
      <c r="Q107" s="806"/>
      <c r="R107" s="807">
        <f>SUM(O107:Q107)</f>
        <v>0</v>
      </c>
      <c r="S107" s="1174"/>
    </row>
    <row r="108" spans="2:19">
      <c r="B108" s="210" t="str">
        <f>IF(COUNTA(C108)=1,MAX(B$107:B107)+1,"")</f>
        <v/>
      </c>
      <c r="C108" s="808"/>
      <c r="D108" s="809"/>
      <c r="E108" s="809"/>
      <c r="F108" s="809"/>
      <c r="G108" s="809"/>
      <c r="H108" s="810"/>
      <c r="I108" s="808"/>
      <c r="J108" s="809"/>
      <c r="K108" s="809"/>
      <c r="L108" s="809"/>
      <c r="M108" s="809"/>
      <c r="N108" s="809"/>
      <c r="O108" s="811"/>
      <c r="P108" s="812"/>
      <c r="Q108" s="812"/>
      <c r="R108" s="807">
        <f t="shared" ref="R108:R156" si="2">SUM(O108:Q108)</f>
        <v>0</v>
      </c>
      <c r="S108" s="1174"/>
    </row>
    <row r="109" spans="2:19">
      <c r="B109" s="210" t="str">
        <f>IF(COUNTA(C109)=1,MAX(B$107:B108)+1,"")</f>
        <v/>
      </c>
      <c r="C109" s="808"/>
      <c r="D109" s="809"/>
      <c r="E109" s="809"/>
      <c r="F109" s="809"/>
      <c r="G109" s="809"/>
      <c r="H109" s="810"/>
      <c r="I109" s="808"/>
      <c r="J109" s="809"/>
      <c r="K109" s="809"/>
      <c r="L109" s="809"/>
      <c r="M109" s="809"/>
      <c r="N109" s="809"/>
      <c r="O109" s="811"/>
      <c r="P109" s="812"/>
      <c r="Q109" s="812"/>
      <c r="R109" s="807">
        <f t="shared" si="2"/>
        <v>0</v>
      </c>
      <c r="S109" s="1174"/>
    </row>
    <row r="110" spans="2:19">
      <c r="B110" s="210" t="str">
        <f>IF(COUNTA(C110)=1,MAX(B$107:B109)+1,"")</f>
        <v/>
      </c>
      <c r="C110" s="808"/>
      <c r="D110" s="809"/>
      <c r="E110" s="809"/>
      <c r="F110" s="809"/>
      <c r="G110" s="809"/>
      <c r="H110" s="810"/>
      <c r="I110" s="808"/>
      <c r="J110" s="809"/>
      <c r="K110" s="809"/>
      <c r="L110" s="809"/>
      <c r="M110" s="809"/>
      <c r="N110" s="809"/>
      <c r="O110" s="811"/>
      <c r="P110" s="812"/>
      <c r="Q110" s="812"/>
      <c r="R110" s="807">
        <f t="shared" si="2"/>
        <v>0</v>
      </c>
      <c r="S110" s="1174"/>
    </row>
    <row r="111" spans="2:19">
      <c r="B111" s="210" t="str">
        <f>IF(COUNTA(C111)=1,MAX(B$107:B110)+1,"")</f>
        <v/>
      </c>
      <c r="C111" s="808"/>
      <c r="D111" s="809"/>
      <c r="E111" s="809"/>
      <c r="F111" s="809"/>
      <c r="G111" s="809"/>
      <c r="H111" s="810"/>
      <c r="I111" s="808"/>
      <c r="J111" s="809"/>
      <c r="K111" s="809"/>
      <c r="L111" s="809"/>
      <c r="M111" s="809"/>
      <c r="N111" s="809"/>
      <c r="O111" s="811"/>
      <c r="P111" s="812"/>
      <c r="Q111" s="812"/>
      <c r="R111" s="807">
        <f t="shared" si="2"/>
        <v>0</v>
      </c>
      <c r="S111" s="1174"/>
    </row>
    <row r="112" spans="2:19">
      <c r="B112" s="210" t="str">
        <f>IF(COUNTA(C112)=1,MAX(B$107:B111)+1,"")</f>
        <v/>
      </c>
      <c r="C112" s="808"/>
      <c r="D112" s="809"/>
      <c r="E112" s="809"/>
      <c r="F112" s="809"/>
      <c r="G112" s="809"/>
      <c r="H112" s="810"/>
      <c r="I112" s="808"/>
      <c r="J112" s="809"/>
      <c r="K112" s="809"/>
      <c r="L112" s="809"/>
      <c r="M112" s="809"/>
      <c r="N112" s="809"/>
      <c r="O112" s="811"/>
      <c r="P112" s="812"/>
      <c r="Q112" s="812"/>
      <c r="R112" s="807">
        <f t="shared" si="2"/>
        <v>0</v>
      </c>
      <c r="S112" s="1174"/>
    </row>
    <row r="113" spans="2:19">
      <c r="B113" s="210" t="str">
        <f>IF(COUNTA(C113)=1,MAX(B$107:B112)+1,"")</f>
        <v/>
      </c>
      <c r="C113" s="808"/>
      <c r="D113" s="809"/>
      <c r="E113" s="809"/>
      <c r="F113" s="809"/>
      <c r="G113" s="809"/>
      <c r="H113" s="810"/>
      <c r="I113" s="808"/>
      <c r="J113" s="809"/>
      <c r="K113" s="809"/>
      <c r="L113" s="809"/>
      <c r="M113" s="809"/>
      <c r="N113" s="809"/>
      <c r="O113" s="811"/>
      <c r="P113" s="812"/>
      <c r="Q113" s="812"/>
      <c r="R113" s="807">
        <f t="shared" si="2"/>
        <v>0</v>
      </c>
      <c r="S113" s="1174"/>
    </row>
    <row r="114" spans="2:19">
      <c r="B114" s="210" t="str">
        <f>IF(COUNTA(C114)=1,MAX(B$107:B113)+1,"")</f>
        <v/>
      </c>
      <c r="C114" s="808"/>
      <c r="D114" s="809"/>
      <c r="E114" s="809"/>
      <c r="F114" s="809"/>
      <c r="G114" s="809"/>
      <c r="H114" s="810"/>
      <c r="I114" s="808"/>
      <c r="J114" s="809"/>
      <c r="K114" s="809"/>
      <c r="L114" s="809"/>
      <c r="M114" s="809"/>
      <c r="N114" s="809"/>
      <c r="O114" s="811"/>
      <c r="P114" s="812"/>
      <c r="Q114" s="812"/>
      <c r="R114" s="807">
        <f t="shared" si="2"/>
        <v>0</v>
      </c>
      <c r="S114" s="1174"/>
    </row>
    <row r="115" spans="2:19">
      <c r="B115" s="210" t="str">
        <f>IF(COUNTA(C115)=1,MAX(B$107:B114)+1,"")</f>
        <v/>
      </c>
      <c r="C115" s="808"/>
      <c r="D115" s="809"/>
      <c r="E115" s="809"/>
      <c r="F115" s="809"/>
      <c r="G115" s="809"/>
      <c r="H115" s="810"/>
      <c r="I115" s="808"/>
      <c r="J115" s="809"/>
      <c r="K115" s="809"/>
      <c r="L115" s="809"/>
      <c r="M115" s="809"/>
      <c r="N115" s="809"/>
      <c r="O115" s="811"/>
      <c r="P115" s="812"/>
      <c r="Q115" s="812"/>
      <c r="R115" s="807">
        <f t="shared" si="2"/>
        <v>0</v>
      </c>
      <c r="S115" s="1174"/>
    </row>
    <row r="116" spans="2:19">
      <c r="B116" s="210" t="str">
        <f>IF(COUNTA(C116)=1,MAX(B$107:B115)+1,"")</f>
        <v/>
      </c>
      <c r="C116" s="808"/>
      <c r="D116" s="809"/>
      <c r="E116" s="809"/>
      <c r="F116" s="809"/>
      <c r="G116" s="809"/>
      <c r="H116" s="810"/>
      <c r="I116" s="808"/>
      <c r="J116" s="809"/>
      <c r="K116" s="809"/>
      <c r="L116" s="809"/>
      <c r="M116" s="809"/>
      <c r="N116" s="809"/>
      <c r="O116" s="811"/>
      <c r="P116" s="812"/>
      <c r="Q116" s="812"/>
      <c r="R116" s="807">
        <f t="shared" si="2"/>
        <v>0</v>
      </c>
      <c r="S116" s="1174"/>
    </row>
    <row r="117" spans="2:19">
      <c r="B117" s="210" t="str">
        <f>IF(COUNTA(C117)=1,MAX(B$107:B116)+1,"")</f>
        <v/>
      </c>
      <c r="C117" s="808"/>
      <c r="D117" s="809"/>
      <c r="E117" s="809"/>
      <c r="F117" s="809"/>
      <c r="G117" s="809"/>
      <c r="H117" s="810"/>
      <c r="I117" s="808"/>
      <c r="J117" s="809"/>
      <c r="K117" s="809"/>
      <c r="L117" s="809"/>
      <c r="M117" s="809"/>
      <c r="N117" s="809"/>
      <c r="O117" s="811">
        <v>0</v>
      </c>
      <c r="P117" s="812"/>
      <c r="Q117" s="812">
        <v>0</v>
      </c>
      <c r="R117" s="807">
        <f t="shared" si="2"/>
        <v>0</v>
      </c>
      <c r="S117" s="1174"/>
    </row>
    <row r="118" spans="2:19">
      <c r="B118" s="210" t="str">
        <f>IF(COUNTA(C118)=1,MAX(B$107:B117)+1,"")</f>
        <v/>
      </c>
      <c r="C118" s="808"/>
      <c r="D118" s="809"/>
      <c r="E118" s="809"/>
      <c r="F118" s="809"/>
      <c r="G118" s="809"/>
      <c r="H118" s="810"/>
      <c r="I118" s="808"/>
      <c r="J118" s="809"/>
      <c r="K118" s="809"/>
      <c r="L118" s="809"/>
      <c r="M118" s="809"/>
      <c r="N118" s="809"/>
      <c r="O118" s="811">
        <v>0</v>
      </c>
      <c r="P118" s="812"/>
      <c r="Q118" s="812">
        <v>0</v>
      </c>
      <c r="R118" s="807">
        <f t="shared" si="2"/>
        <v>0</v>
      </c>
      <c r="S118" s="1174"/>
    </row>
    <row r="119" spans="2:19">
      <c r="B119" s="210" t="str">
        <f>IF(COUNTA(C119)=1,MAX(B$107:B118)+1,"")</f>
        <v/>
      </c>
      <c r="C119" s="808"/>
      <c r="D119" s="809"/>
      <c r="E119" s="809"/>
      <c r="F119" s="809"/>
      <c r="G119" s="809"/>
      <c r="H119" s="810"/>
      <c r="I119" s="808"/>
      <c r="J119" s="809"/>
      <c r="K119" s="809"/>
      <c r="L119" s="809"/>
      <c r="M119" s="809"/>
      <c r="N119" s="809"/>
      <c r="O119" s="811">
        <v>0</v>
      </c>
      <c r="P119" s="812"/>
      <c r="Q119" s="812">
        <v>0</v>
      </c>
      <c r="R119" s="807">
        <f t="shared" si="2"/>
        <v>0</v>
      </c>
      <c r="S119" s="1174"/>
    </row>
    <row r="120" spans="2:19">
      <c r="B120" s="210" t="str">
        <f>IF(COUNTA(C120)=1,MAX(B$107:B119)+1,"")</f>
        <v/>
      </c>
      <c r="C120" s="808"/>
      <c r="D120" s="809"/>
      <c r="E120" s="809"/>
      <c r="F120" s="809"/>
      <c r="G120" s="809"/>
      <c r="H120" s="810"/>
      <c r="I120" s="808"/>
      <c r="J120" s="809"/>
      <c r="K120" s="809"/>
      <c r="L120" s="809"/>
      <c r="M120" s="809"/>
      <c r="N120" s="809"/>
      <c r="O120" s="811">
        <v>0</v>
      </c>
      <c r="P120" s="812"/>
      <c r="Q120" s="812">
        <v>0</v>
      </c>
      <c r="R120" s="807">
        <f t="shared" si="2"/>
        <v>0</v>
      </c>
      <c r="S120" s="1174"/>
    </row>
    <row r="121" spans="2:19">
      <c r="B121" s="210" t="str">
        <f>IF(COUNTA(C121)=1,MAX(B$107:B120)+1,"")</f>
        <v/>
      </c>
      <c r="C121" s="808"/>
      <c r="D121" s="809"/>
      <c r="E121" s="809"/>
      <c r="F121" s="809"/>
      <c r="G121" s="809"/>
      <c r="H121" s="810"/>
      <c r="I121" s="808"/>
      <c r="J121" s="809"/>
      <c r="K121" s="809"/>
      <c r="L121" s="809"/>
      <c r="M121" s="809"/>
      <c r="N121" s="809"/>
      <c r="O121" s="811">
        <v>0</v>
      </c>
      <c r="P121" s="812"/>
      <c r="Q121" s="812">
        <v>0</v>
      </c>
      <c r="R121" s="807">
        <f t="shared" si="2"/>
        <v>0</v>
      </c>
      <c r="S121" s="1174"/>
    </row>
    <row r="122" spans="2:19">
      <c r="B122" s="210" t="str">
        <f>IF(COUNTA(C122)=1,MAX(B$107:B121)+1,"")</f>
        <v/>
      </c>
      <c r="C122" s="808"/>
      <c r="D122" s="809"/>
      <c r="E122" s="809"/>
      <c r="F122" s="809"/>
      <c r="G122" s="809"/>
      <c r="H122" s="810"/>
      <c r="I122" s="808"/>
      <c r="J122" s="809"/>
      <c r="K122" s="809"/>
      <c r="L122" s="809"/>
      <c r="M122" s="809"/>
      <c r="N122" s="809"/>
      <c r="O122" s="811">
        <v>0</v>
      </c>
      <c r="P122" s="812"/>
      <c r="Q122" s="812">
        <v>0</v>
      </c>
      <c r="R122" s="807">
        <f t="shared" si="2"/>
        <v>0</v>
      </c>
      <c r="S122" s="1174"/>
    </row>
    <row r="123" spans="2:19">
      <c r="B123" s="210" t="str">
        <f>IF(COUNTA(C123)=1,MAX(B$107:B122)+1,"")</f>
        <v/>
      </c>
      <c r="C123" s="808"/>
      <c r="D123" s="809"/>
      <c r="E123" s="809"/>
      <c r="F123" s="809"/>
      <c r="G123" s="809"/>
      <c r="H123" s="810"/>
      <c r="I123" s="808"/>
      <c r="J123" s="809"/>
      <c r="K123" s="809"/>
      <c r="L123" s="809"/>
      <c r="M123" s="809"/>
      <c r="N123" s="809"/>
      <c r="O123" s="811">
        <v>0</v>
      </c>
      <c r="P123" s="812"/>
      <c r="Q123" s="812">
        <v>0</v>
      </c>
      <c r="R123" s="807">
        <f t="shared" si="2"/>
        <v>0</v>
      </c>
      <c r="S123" s="1174"/>
    </row>
    <row r="124" spans="2:19">
      <c r="B124" s="210" t="str">
        <f>IF(COUNTA(C124)=1,MAX(B$107:B123)+1,"")</f>
        <v/>
      </c>
      <c r="C124" s="808"/>
      <c r="D124" s="809"/>
      <c r="E124" s="809"/>
      <c r="F124" s="809"/>
      <c r="G124" s="809"/>
      <c r="H124" s="810"/>
      <c r="I124" s="808"/>
      <c r="J124" s="809"/>
      <c r="K124" s="809"/>
      <c r="L124" s="809"/>
      <c r="M124" s="809"/>
      <c r="N124" s="809"/>
      <c r="O124" s="811">
        <v>0</v>
      </c>
      <c r="P124" s="812"/>
      <c r="Q124" s="812">
        <v>0</v>
      </c>
      <c r="R124" s="807">
        <f t="shared" si="2"/>
        <v>0</v>
      </c>
      <c r="S124" s="1174"/>
    </row>
    <row r="125" spans="2:19">
      <c r="B125" s="210" t="str">
        <f>IF(COUNTA(C125)=1,MAX(B$107:B124)+1,"")</f>
        <v/>
      </c>
      <c r="C125" s="808"/>
      <c r="D125" s="809"/>
      <c r="E125" s="809"/>
      <c r="F125" s="809"/>
      <c r="G125" s="809"/>
      <c r="H125" s="810"/>
      <c r="I125" s="808"/>
      <c r="J125" s="809"/>
      <c r="K125" s="809"/>
      <c r="L125" s="809"/>
      <c r="M125" s="809"/>
      <c r="N125" s="809"/>
      <c r="O125" s="811">
        <v>0</v>
      </c>
      <c r="P125" s="812"/>
      <c r="Q125" s="812">
        <v>0</v>
      </c>
      <c r="R125" s="807">
        <f t="shared" si="2"/>
        <v>0</v>
      </c>
      <c r="S125" s="1174"/>
    </row>
    <row r="126" spans="2:19">
      <c r="B126" s="210" t="str">
        <f>IF(COUNTA(C126)=1,MAX(B$107:B125)+1,"")</f>
        <v/>
      </c>
      <c r="C126" s="808"/>
      <c r="D126" s="809"/>
      <c r="E126" s="809"/>
      <c r="F126" s="809"/>
      <c r="G126" s="809"/>
      <c r="H126" s="810"/>
      <c r="I126" s="808"/>
      <c r="J126" s="809"/>
      <c r="K126" s="809"/>
      <c r="L126" s="809"/>
      <c r="M126" s="809"/>
      <c r="N126" s="809"/>
      <c r="O126" s="811">
        <v>0</v>
      </c>
      <c r="P126" s="812"/>
      <c r="Q126" s="812">
        <v>0</v>
      </c>
      <c r="R126" s="807">
        <f t="shared" si="2"/>
        <v>0</v>
      </c>
      <c r="S126" s="1174"/>
    </row>
    <row r="127" spans="2:19">
      <c r="B127" s="210" t="str">
        <f>IF(COUNTA(C127)=1,MAX(B$107:B126)+1,"")</f>
        <v/>
      </c>
      <c r="C127" s="808"/>
      <c r="D127" s="809"/>
      <c r="E127" s="809"/>
      <c r="F127" s="809"/>
      <c r="G127" s="809"/>
      <c r="H127" s="810"/>
      <c r="I127" s="808"/>
      <c r="J127" s="809"/>
      <c r="K127" s="809"/>
      <c r="L127" s="809"/>
      <c r="M127" s="809"/>
      <c r="N127" s="809"/>
      <c r="O127" s="811">
        <v>0</v>
      </c>
      <c r="P127" s="812"/>
      <c r="Q127" s="812">
        <v>0</v>
      </c>
      <c r="R127" s="807">
        <f t="shared" si="2"/>
        <v>0</v>
      </c>
      <c r="S127" s="1174"/>
    </row>
    <row r="128" spans="2:19">
      <c r="B128" s="210" t="str">
        <f>IF(COUNTA(C128)=1,MAX(B$107:B127)+1,"")</f>
        <v/>
      </c>
      <c r="C128" s="808"/>
      <c r="D128" s="809"/>
      <c r="E128" s="809"/>
      <c r="F128" s="809"/>
      <c r="G128" s="809"/>
      <c r="H128" s="810"/>
      <c r="I128" s="808"/>
      <c r="J128" s="809"/>
      <c r="K128" s="809"/>
      <c r="L128" s="809"/>
      <c r="M128" s="809"/>
      <c r="N128" s="809"/>
      <c r="O128" s="811">
        <v>0</v>
      </c>
      <c r="P128" s="812"/>
      <c r="Q128" s="812">
        <v>0</v>
      </c>
      <c r="R128" s="807">
        <f t="shared" si="2"/>
        <v>0</v>
      </c>
      <c r="S128" s="1174"/>
    </row>
    <row r="129" spans="2:19">
      <c r="B129" s="210" t="str">
        <f>IF(COUNTA(C129)=1,MAX(B$107:B128)+1,"")</f>
        <v/>
      </c>
      <c r="C129" s="808"/>
      <c r="D129" s="809"/>
      <c r="E129" s="809"/>
      <c r="F129" s="809"/>
      <c r="G129" s="809"/>
      <c r="H129" s="810"/>
      <c r="I129" s="808"/>
      <c r="J129" s="809"/>
      <c r="K129" s="809"/>
      <c r="L129" s="809"/>
      <c r="M129" s="809"/>
      <c r="N129" s="809"/>
      <c r="O129" s="811">
        <v>0</v>
      </c>
      <c r="P129" s="812"/>
      <c r="Q129" s="812">
        <v>0</v>
      </c>
      <c r="R129" s="807">
        <f t="shared" si="2"/>
        <v>0</v>
      </c>
      <c r="S129" s="1174"/>
    </row>
    <row r="130" spans="2:19">
      <c r="B130" s="210" t="str">
        <f>IF(COUNTA(C130)=1,MAX(B$107:B129)+1,"")</f>
        <v/>
      </c>
      <c r="C130" s="808"/>
      <c r="D130" s="809"/>
      <c r="E130" s="809"/>
      <c r="F130" s="809"/>
      <c r="G130" s="809"/>
      <c r="H130" s="810"/>
      <c r="I130" s="808"/>
      <c r="J130" s="809"/>
      <c r="K130" s="809"/>
      <c r="L130" s="809"/>
      <c r="M130" s="809"/>
      <c r="N130" s="809"/>
      <c r="O130" s="811">
        <v>0</v>
      </c>
      <c r="P130" s="812"/>
      <c r="Q130" s="812">
        <v>0</v>
      </c>
      <c r="R130" s="807">
        <f t="shared" si="2"/>
        <v>0</v>
      </c>
      <c r="S130" s="1174"/>
    </row>
    <row r="131" spans="2:19">
      <c r="B131" s="210" t="str">
        <f>IF(COUNTA(C131)=1,MAX(B$107:B130)+1,"")</f>
        <v/>
      </c>
      <c r="C131" s="808"/>
      <c r="D131" s="809"/>
      <c r="E131" s="809"/>
      <c r="F131" s="809"/>
      <c r="G131" s="809"/>
      <c r="H131" s="810"/>
      <c r="I131" s="808"/>
      <c r="J131" s="809"/>
      <c r="K131" s="809"/>
      <c r="L131" s="809"/>
      <c r="M131" s="809"/>
      <c r="N131" s="809"/>
      <c r="O131" s="811">
        <v>0</v>
      </c>
      <c r="P131" s="812"/>
      <c r="Q131" s="812">
        <v>0</v>
      </c>
      <c r="R131" s="807">
        <f t="shared" si="2"/>
        <v>0</v>
      </c>
      <c r="S131" s="1174"/>
    </row>
    <row r="132" spans="2:19">
      <c r="B132" s="210" t="str">
        <f>IF(COUNTA(C132)=1,MAX(B$107:B131)+1,"")</f>
        <v/>
      </c>
      <c r="C132" s="808"/>
      <c r="D132" s="809"/>
      <c r="E132" s="809"/>
      <c r="F132" s="809"/>
      <c r="G132" s="809"/>
      <c r="H132" s="810"/>
      <c r="I132" s="808"/>
      <c r="J132" s="809"/>
      <c r="K132" s="809"/>
      <c r="L132" s="809"/>
      <c r="M132" s="809"/>
      <c r="N132" s="809"/>
      <c r="O132" s="811">
        <v>0</v>
      </c>
      <c r="P132" s="812"/>
      <c r="Q132" s="812">
        <v>0</v>
      </c>
      <c r="R132" s="807">
        <f t="shared" si="2"/>
        <v>0</v>
      </c>
      <c r="S132" s="1174"/>
    </row>
    <row r="133" spans="2:19">
      <c r="B133" s="210" t="str">
        <f>IF(COUNTA(C133)=1,MAX(B$107:B132)+1,"")</f>
        <v/>
      </c>
      <c r="C133" s="808"/>
      <c r="D133" s="809"/>
      <c r="E133" s="809"/>
      <c r="F133" s="809"/>
      <c r="G133" s="809"/>
      <c r="H133" s="810"/>
      <c r="I133" s="808"/>
      <c r="J133" s="809"/>
      <c r="K133" s="809"/>
      <c r="L133" s="809"/>
      <c r="M133" s="809"/>
      <c r="N133" s="809"/>
      <c r="O133" s="811">
        <v>0</v>
      </c>
      <c r="P133" s="812"/>
      <c r="Q133" s="812">
        <v>0</v>
      </c>
      <c r="R133" s="807">
        <f t="shared" si="2"/>
        <v>0</v>
      </c>
      <c r="S133" s="1174"/>
    </row>
    <row r="134" spans="2:19">
      <c r="B134" s="210" t="str">
        <f>IF(COUNTA(C134)=1,MAX(B$107:B133)+1,"")</f>
        <v/>
      </c>
      <c r="C134" s="808"/>
      <c r="D134" s="809"/>
      <c r="E134" s="809"/>
      <c r="F134" s="809"/>
      <c r="G134" s="809"/>
      <c r="H134" s="810"/>
      <c r="I134" s="808"/>
      <c r="J134" s="809"/>
      <c r="K134" s="809"/>
      <c r="L134" s="809"/>
      <c r="M134" s="809"/>
      <c r="N134" s="809"/>
      <c r="O134" s="811">
        <v>0</v>
      </c>
      <c r="P134" s="812"/>
      <c r="Q134" s="812">
        <v>0</v>
      </c>
      <c r="R134" s="807">
        <f t="shared" si="2"/>
        <v>0</v>
      </c>
      <c r="S134" s="1174"/>
    </row>
    <row r="135" spans="2:19">
      <c r="B135" s="210" t="str">
        <f>IF(COUNTA(C135)=1,MAX(B$107:B134)+1,"")</f>
        <v/>
      </c>
      <c r="C135" s="808"/>
      <c r="D135" s="809"/>
      <c r="E135" s="809"/>
      <c r="F135" s="809"/>
      <c r="G135" s="809"/>
      <c r="H135" s="810"/>
      <c r="I135" s="808"/>
      <c r="J135" s="809"/>
      <c r="K135" s="809"/>
      <c r="L135" s="809"/>
      <c r="M135" s="809"/>
      <c r="N135" s="809"/>
      <c r="O135" s="811">
        <v>0</v>
      </c>
      <c r="P135" s="812"/>
      <c r="Q135" s="812">
        <v>0</v>
      </c>
      <c r="R135" s="807">
        <f t="shared" si="2"/>
        <v>0</v>
      </c>
      <c r="S135" s="1174"/>
    </row>
    <row r="136" spans="2:19">
      <c r="B136" s="210" t="str">
        <f>IF(COUNTA(C136)=1,MAX(B$107:B135)+1,"")</f>
        <v/>
      </c>
      <c r="C136" s="808"/>
      <c r="D136" s="809"/>
      <c r="E136" s="809"/>
      <c r="F136" s="809"/>
      <c r="G136" s="809"/>
      <c r="H136" s="810"/>
      <c r="I136" s="808"/>
      <c r="J136" s="809"/>
      <c r="K136" s="809"/>
      <c r="L136" s="809"/>
      <c r="M136" s="809"/>
      <c r="N136" s="809"/>
      <c r="O136" s="811">
        <v>0</v>
      </c>
      <c r="P136" s="812"/>
      <c r="Q136" s="812">
        <v>0</v>
      </c>
      <c r="R136" s="807">
        <f t="shared" si="2"/>
        <v>0</v>
      </c>
      <c r="S136" s="1174"/>
    </row>
    <row r="137" spans="2:19">
      <c r="B137" s="210" t="str">
        <f>IF(COUNTA(C137)=1,MAX(B$107:B136)+1,"")</f>
        <v/>
      </c>
      <c r="C137" s="808"/>
      <c r="D137" s="809"/>
      <c r="E137" s="809"/>
      <c r="F137" s="809"/>
      <c r="G137" s="809"/>
      <c r="H137" s="810"/>
      <c r="I137" s="808"/>
      <c r="J137" s="809"/>
      <c r="K137" s="809"/>
      <c r="L137" s="809"/>
      <c r="M137" s="809"/>
      <c r="N137" s="809"/>
      <c r="O137" s="811">
        <v>0</v>
      </c>
      <c r="P137" s="812"/>
      <c r="Q137" s="812">
        <v>0</v>
      </c>
      <c r="R137" s="807">
        <f t="shared" si="2"/>
        <v>0</v>
      </c>
      <c r="S137" s="1174"/>
    </row>
    <row r="138" spans="2:19">
      <c r="B138" s="210" t="str">
        <f>IF(COUNTA(C138)=1,MAX(B$107:B137)+1,"")</f>
        <v/>
      </c>
      <c r="C138" s="808"/>
      <c r="D138" s="809"/>
      <c r="E138" s="809"/>
      <c r="F138" s="809"/>
      <c r="G138" s="809"/>
      <c r="H138" s="810"/>
      <c r="I138" s="808"/>
      <c r="J138" s="809"/>
      <c r="K138" s="809"/>
      <c r="L138" s="809"/>
      <c r="M138" s="809"/>
      <c r="N138" s="809"/>
      <c r="O138" s="811">
        <v>0</v>
      </c>
      <c r="P138" s="812"/>
      <c r="Q138" s="812">
        <v>0</v>
      </c>
      <c r="R138" s="807">
        <f t="shared" si="2"/>
        <v>0</v>
      </c>
      <c r="S138" s="1174"/>
    </row>
    <row r="139" spans="2:19">
      <c r="B139" s="210" t="str">
        <f>IF(COUNTA(C139)=1,MAX(B$107:B138)+1,"")</f>
        <v/>
      </c>
      <c r="C139" s="808"/>
      <c r="D139" s="809"/>
      <c r="E139" s="809"/>
      <c r="F139" s="809"/>
      <c r="G139" s="809"/>
      <c r="H139" s="810"/>
      <c r="I139" s="808"/>
      <c r="J139" s="809"/>
      <c r="K139" s="809"/>
      <c r="L139" s="809"/>
      <c r="M139" s="809"/>
      <c r="N139" s="809"/>
      <c r="O139" s="811">
        <v>0</v>
      </c>
      <c r="P139" s="812"/>
      <c r="Q139" s="812">
        <v>0</v>
      </c>
      <c r="R139" s="807">
        <f t="shared" si="2"/>
        <v>0</v>
      </c>
      <c r="S139" s="1174"/>
    </row>
    <row r="140" spans="2:19">
      <c r="B140" s="210" t="str">
        <f>IF(COUNTA(C140)=1,MAX(B$107:B139)+1,"")</f>
        <v/>
      </c>
      <c r="C140" s="808"/>
      <c r="D140" s="809"/>
      <c r="E140" s="809"/>
      <c r="F140" s="809"/>
      <c r="G140" s="809"/>
      <c r="H140" s="810"/>
      <c r="I140" s="808"/>
      <c r="J140" s="809"/>
      <c r="K140" s="809"/>
      <c r="L140" s="809"/>
      <c r="M140" s="809"/>
      <c r="N140" s="809"/>
      <c r="O140" s="811">
        <v>0</v>
      </c>
      <c r="P140" s="812"/>
      <c r="Q140" s="812">
        <v>0</v>
      </c>
      <c r="R140" s="807">
        <f t="shared" si="2"/>
        <v>0</v>
      </c>
      <c r="S140" s="1174"/>
    </row>
    <row r="141" spans="2:19">
      <c r="B141" s="210" t="str">
        <f>IF(COUNTA(C141)=1,MAX(B$107:B140)+1,"")</f>
        <v/>
      </c>
      <c r="C141" s="808"/>
      <c r="D141" s="809"/>
      <c r="E141" s="809"/>
      <c r="F141" s="809"/>
      <c r="G141" s="809"/>
      <c r="H141" s="810"/>
      <c r="I141" s="808"/>
      <c r="J141" s="809"/>
      <c r="K141" s="809"/>
      <c r="L141" s="809"/>
      <c r="M141" s="809"/>
      <c r="N141" s="809"/>
      <c r="O141" s="811">
        <v>0</v>
      </c>
      <c r="P141" s="812"/>
      <c r="Q141" s="812">
        <v>0</v>
      </c>
      <c r="R141" s="807">
        <f t="shared" si="2"/>
        <v>0</v>
      </c>
      <c r="S141" s="1174"/>
    </row>
    <row r="142" spans="2:19">
      <c r="B142" s="210" t="str">
        <f>IF(COUNTA(C142)=1,MAX(B$107:B141)+1,"")</f>
        <v/>
      </c>
      <c r="C142" s="808"/>
      <c r="D142" s="809"/>
      <c r="E142" s="809"/>
      <c r="F142" s="809"/>
      <c r="G142" s="809"/>
      <c r="H142" s="810"/>
      <c r="I142" s="808"/>
      <c r="J142" s="809"/>
      <c r="K142" s="809"/>
      <c r="L142" s="809"/>
      <c r="M142" s="809"/>
      <c r="N142" s="809"/>
      <c r="O142" s="811">
        <v>0</v>
      </c>
      <c r="P142" s="812"/>
      <c r="Q142" s="812">
        <v>0</v>
      </c>
      <c r="R142" s="807">
        <f t="shared" si="2"/>
        <v>0</v>
      </c>
      <c r="S142" s="1174"/>
    </row>
    <row r="143" spans="2:19">
      <c r="B143" s="210" t="str">
        <f>IF(COUNTA(C143)=1,MAX(B$107:B142)+1,"")</f>
        <v/>
      </c>
      <c r="C143" s="808"/>
      <c r="D143" s="809"/>
      <c r="E143" s="809"/>
      <c r="F143" s="809"/>
      <c r="G143" s="809"/>
      <c r="H143" s="810"/>
      <c r="I143" s="808"/>
      <c r="J143" s="809"/>
      <c r="K143" s="809"/>
      <c r="L143" s="809"/>
      <c r="M143" s="809"/>
      <c r="N143" s="809"/>
      <c r="O143" s="811">
        <v>0</v>
      </c>
      <c r="P143" s="812"/>
      <c r="Q143" s="812">
        <v>0</v>
      </c>
      <c r="R143" s="807">
        <f t="shared" si="2"/>
        <v>0</v>
      </c>
      <c r="S143" s="1174"/>
    </row>
    <row r="144" spans="2:19">
      <c r="B144" s="210" t="str">
        <f>IF(COUNTA(C144)=1,MAX(B$107:B143)+1,"")</f>
        <v/>
      </c>
      <c r="C144" s="808"/>
      <c r="D144" s="809"/>
      <c r="E144" s="809"/>
      <c r="F144" s="809"/>
      <c r="G144" s="809"/>
      <c r="H144" s="810"/>
      <c r="I144" s="808"/>
      <c r="J144" s="809"/>
      <c r="K144" s="809"/>
      <c r="L144" s="809"/>
      <c r="M144" s="809"/>
      <c r="N144" s="809"/>
      <c r="O144" s="811">
        <v>0</v>
      </c>
      <c r="P144" s="812"/>
      <c r="Q144" s="812">
        <v>0</v>
      </c>
      <c r="R144" s="807">
        <f t="shared" si="2"/>
        <v>0</v>
      </c>
      <c r="S144" s="1174"/>
    </row>
    <row r="145" spans="2:19">
      <c r="B145" s="210" t="str">
        <f>IF(COUNTA(C145)=1,MAX(B$107:B144)+1,"")</f>
        <v/>
      </c>
      <c r="C145" s="808"/>
      <c r="D145" s="809"/>
      <c r="E145" s="809"/>
      <c r="F145" s="809"/>
      <c r="G145" s="809"/>
      <c r="H145" s="810"/>
      <c r="I145" s="808"/>
      <c r="J145" s="809"/>
      <c r="K145" s="809"/>
      <c r="L145" s="809"/>
      <c r="M145" s="809"/>
      <c r="N145" s="809"/>
      <c r="O145" s="811">
        <v>0</v>
      </c>
      <c r="P145" s="812"/>
      <c r="Q145" s="812">
        <v>0</v>
      </c>
      <c r="R145" s="807">
        <f t="shared" si="2"/>
        <v>0</v>
      </c>
      <c r="S145" s="1174"/>
    </row>
    <row r="146" spans="2:19">
      <c r="B146" s="210" t="str">
        <f>IF(COUNTA(C146)=1,MAX(B$107:B145)+1,"")</f>
        <v/>
      </c>
      <c r="C146" s="808"/>
      <c r="D146" s="809"/>
      <c r="E146" s="809"/>
      <c r="F146" s="809"/>
      <c r="G146" s="809"/>
      <c r="H146" s="810"/>
      <c r="I146" s="808"/>
      <c r="J146" s="809"/>
      <c r="K146" s="809"/>
      <c r="L146" s="809"/>
      <c r="M146" s="809"/>
      <c r="N146" s="809"/>
      <c r="O146" s="811">
        <v>0</v>
      </c>
      <c r="P146" s="812"/>
      <c r="Q146" s="812">
        <v>0</v>
      </c>
      <c r="R146" s="807">
        <f t="shared" si="2"/>
        <v>0</v>
      </c>
      <c r="S146" s="1174"/>
    </row>
    <row r="147" spans="2:19">
      <c r="B147" s="210" t="str">
        <f>IF(COUNTA(C147)=1,MAX(B$107:B146)+1,"")</f>
        <v/>
      </c>
      <c r="C147" s="808"/>
      <c r="D147" s="809"/>
      <c r="E147" s="809"/>
      <c r="F147" s="809"/>
      <c r="G147" s="809"/>
      <c r="H147" s="810"/>
      <c r="I147" s="808"/>
      <c r="J147" s="809"/>
      <c r="K147" s="809"/>
      <c r="L147" s="809"/>
      <c r="M147" s="809"/>
      <c r="N147" s="809"/>
      <c r="O147" s="811">
        <v>0</v>
      </c>
      <c r="P147" s="812"/>
      <c r="Q147" s="812">
        <v>0</v>
      </c>
      <c r="R147" s="807">
        <f t="shared" si="2"/>
        <v>0</v>
      </c>
      <c r="S147" s="1174"/>
    </row>
    <row r="148" spans="2:19">
      <c r="B148" s="210" t="str">
        <f>IF(COUNTA(C148)=1,MAX(B$107:B147)+1,"")</f>
        <v/>
      </c>
      <c r="C148" s="808"/>
      <c r="D148" s="809"/>
      <c r="E148" s="809"/>
      <c r="F148" s="809"/>
      <c r="G148" s="809"/>
      <c r="H148" s="810"/>
      <c r="I148" s="808"/>
      <c r="J148" s="809"/>
      <c r="K148" s="809"/>
      <c r="L148" s="809"/>
      <c r="M148" s="809"/>
      <c r="N148" s="809"/>
      <c r="O148" s="811">
        <v>0</v>
      </c>
      <c r="P148" s="812"/>
      <c r="Q148" s="812">
        <v>0</v>
      </c>
      <c r="R148" s="807">
        <f t="shared" si="2"/>
        <v>0</v>
      </c>
      <c r="S148" s="1174"/>
    </row>
    <row r="149" spans="2:19">
      <c r="B149" s="210" t="str">
        <f>IF(COUNTA(C149)=1,MAX(B$107:B148)+1,"")</f>
        <v/>
      </c>
      <c r="C149" s="808"/>
      <c r="D149" s="809"/>
      <c r="E149" s="809"/>
      <c r="F149" s="809"/>
      <c r="G149" s="809"/>
      <c r="H149" s="810"/>
      <c r="I149" s="808"/>
      <c r="J149" s="809"/>
      <c r="K149" s="809"/>
      <c r="L149" s="809"/>
      <c r="M149" s="809"/>
      <c r="N149" s="809"/>
      <c r="O149" s="811">
        <v>0</v>
      </c>
      <c r="P149" s="812"/>
      <c r="Q149" s="812">
        <v>0</v>
      </c>
      <c r="R149" s="807">
        <f t="shared" si="2"/>
        <v>0</v>
      </c>
      <c r="S149" s="1174"/>
    </row>
    <row r="150" spans="2:19">
      <c r="B150" s="210" t="str">
        <f>IF(COUNTA(C150)=1,MAX(B$107:B149)+1,"")</f>
        <v/>
      </c>
      <c r="C150" s="808"/>
      <c r="D150" s="809"/>
      <c r="E150" s="809"/>
      <c r="F150" s="809"/>
      <c r="G150" s="809"/>
      <c r="H150" s="810"/>
      <c r="I150" s="808"/>
      <c r="J150" s="809"/>
      <c r="K150" s="809"/>
      <c r="L150" s="809"/>
      <c r="M150" s="809"/>
      <c r="N150" s="809"/>
      <c r="O150" s="811">
        <v>0</v>
      </c>
      <c r="P150" s="812"/>
      <c r="Q150" s="812">
        <v>0</v>
      </c>
      <c r="R150" s="807">
        <f t="shared" si="2"/>
        <v>0</v>
      </c>
      <c r="S150" s="1174"/>
    </row>
    <row r="151" spans="2:19">
      <c r="B151" s="210" t="str">
        <f>IF(COUNTA(C151)=1,MAX(B$107:B150)+1,"")</f>
        <v/>
      </c>
      <c r="C151" s="808"/>
      <c r="D151" s="809"/>
      <c r="E151" s="809"/>
      <c r="F151" s="809"/>
      <c r="G151" s="809"/>
      <c r="H151" s="810"/>
      <c r="I151" s="808"/>
      <c r="J151" s="809"/>
      <c r="K151" s="809"/>
      <c r="L151" s="809"/>
      <c r="M151" s="809"/>
      <c r="N151" s="809"/>
      <c r="O151" s="811">
        <v>0</v>
      </c>
      <c r="P151" s="812"/>
      <c r="Q151" s="812">
        <v>0</v>
      </c>
      <c r="R151" s="807">
        <f t="shared" si="2"/>
        <v>0</v>
      </c>
      <c r="S151" s="1174"/>
    </row>
    <row r="152" spans="2:19">
      <c r="B152" s="210" t="str">
        <f>IF(COUNTA(C152)=1,MAX(B$107:B151)+1,"")</f>
        <v/>
      </c>
      <c r="C152" s="808"/>
      <c r="D152" s="809"/>
      <c r="E152" s="809"/>
      <c r="F152" s="809"/>
      <c r="G152" s="809"/>
      <c r="H152" s="810"/>
      <c r="I152" s="808"/>
      <c r="J152" s="809"/>
      <c r="K152" s="809"/>
      <c r="L152" s="809"/>
      <c r="M152" s="809"/>
      <c r="N152" s="809"/>
      <c r="O152" s="811">
        <v>0</v>
      </c>
      <c r="P152" s="812"/>
      <c r="Q152" s="812">
        <v>0</v>
      </c>
      <c r="R152" s="807">
        <f t="shared" si="2"/>
        <v>0</v>
      </c>
      <c r="S152" s="1174"/>
    </row>
    <row r="153" spans="2:19">
      <c r="B153" s="210" t="str">
        <f>IF(COUNTA(C153)=1,MAX(B$107:B152)+1,"")</f>
        <v/>
      </c>
      <c r="C153" s="808"/>
      <c r="D153" s="809"/>
      <c r="E153" s="809"/>
      <c r="F153" s="809"/>
      <c r="G153" s="809"/>
      <c r="H153" s="810"/>
      <c r="I153" s="808"/>
      <c r="J153" s="809"/>
      <c r="K153" s="809"/>
      <c r="L153" s="809"/>
      <c r="M153" s="809"/>
      <c r="N153" s="809"/>
      <c r="O153" s="811">
        <v>0</v>
      </c>
      <c r="P153" s="812"/>
      <c r="Q153" s="812">
        <v>0</v>
      </c>
      <c r="R153" s="807">
        <f t="shared" si="2"/>
        <v>0</v>
      </c>
      <c r="S153" s="1174"/>
    </row>
    <row r="154" spans="2:19">
      <c r="B154" s="210" t="str">
        <f>IF(COUNTA(C154)=1,MAX(B$107:B153)+1,"")</f>
        <v/>
      </c>
      <c r="C154" s="808"/>
      <c r="D154" s="809"/>
      <c r="E154" s="809"/>
      <c r="F154" s="809"/>
      <c r="G154" s="809"/>
      <c r="H154" s="810"/>
      <c r="I154" s="808"/>
      <c r="J154" s="809"/>
      <c r="K154" s="809"/>
      <c r="L154" s="809"/>
      <c r="M154" s="809"/>
      <c r="N154" s="809"/>
      <c r="O154" s="811">
        <v>0</v>
      </c>
      <c r="P154" s="812"/>
      <c r="Q154" s="812">
        <v>0</v>
      </c>
      <c r="R154" s="807">
        <f t="shared" si="2"/>
        <v>0</v>
      </c>
      <c r="S154" s="1174"/>
    </row>
    <row r="155" spans="2:19">
      <c r="B155" s="210" t="str">
        <f>IF(COUNTA(C155)=1,MAX(B$107:B154)+1,"")</f>
        <v/>
      </c>
      <c r="C155" s="808"/>
      <c r="D155" s="809"/>
      <c r="E155" s="809"/>
      <c r="F155" s="809"/>
      <c r="G155" s="809"/>
      <c r="H155" s="810"/>
      <c r="I155" s="808"/>
      <c r="J155" s="809"/>
      <c r="K155" s="809"/>
      <c r="L155" s="809"/>
      <c r="M155" s="809"/>
      <c r="N155" s="809"/>
      <c r="O155" s="811">
        <v>0</v>
      </c>
      <c r="P155" s="812"/>
      <c r="Q155" s="812">
        <v>0</v>
      </c>
      <c r="R155" s="807">
        <f t="shared" si="2"/>
        <v>0</v>
      </c>
      <c r="S155" s="1174"/>
    </row>
    <row r="156" spans="2:19">
      <c r="B156" s="210" t="str">
        <f>IF(COUNTA(C156)=1,MAX(B$107:B155)+1,"")</f>
        <v/>
      </c>
      <c r="C156" s="808"/>
      <c r="D156" s="809"/>
      <c r="E156" s="809"/>
      <c r="F156" s="809"/>
      <c r="G156" s="809"/>
      <c r="H156" s="810"/>
      <c r="I156" s="808"/>
      <c r="J156" s="809"/>
      <c r="K156" s="809"/>
      <c r="L156" s="809"/>
      <c r="M156" s="809"/>
      <c r="N156" s="809"/>
      <c r="O156" s="811">
        <v>0</v>
      </c>
      <c r="P156" s="812"/>
      <c r="Q156" s="812">
        <v>0</v>
      </c>
      <c r="R156" s="807">
        <f t="shared" si="2"/>
        <v>0</v>
      </c>
      <c r="S156" s="1174"/>
    </row>
  </sheetData>
  <sheetProtection algorithmName="SHA-512" hashValue="W5MFMLU9TuFfnj3hmMB2Kdgp1hxMnM7q4VAXN/ONnFnD2XxFZf7ClotzZ9LzpbaVUo9EJ645B45sGbClAOrmQw==" saltValue="lic1Af9LbhTnS6OvqRV82Q==" spinCount="100000" sheet="1" selectLockedCells="1"/>
  <mergeCells count="11">
    <mergeCell ref="P103:Q103"/>
    <mergeCell ref="P105:Q105"/>
    <mergeCell ref="D27:E27"/>
    <mergeCell ref="D28:E28"/>
    <mergeCell ref="J30:O30"/>
    <mergeCell ref="Q1:Q2"/>
    <mergeCell ref="L1:L2"/>
    <mergeCell ref="M1:M2"/>
    <mergeCell ref="N1:N2"/>
    <mergeCell ref="O1:O2"/>
    <mergeCell ref="P1:P2"/>
  </mergeCells>
  <conditionalFormatting sqref="E21">
    <cfRule type="cellIs" dxfId="76" priority="7" stopIfTrue="1" operator="equal">
      <formula>1</formula>
    </cfRule>
  </conditionalFormatting>
  <conditionalFormatting sqref="E86">
    <cfRule type="cellIs" dxfId="75" priority="13" stopIfTrue="1" operator="equal">
      <formula>1</formula>
    </cfRule>
  </conditionalFormatting>
  <conditionalFormatting sqref="N6">
    <cfRule type="cellIs" dxfId="74" priority="6" operator="equal">
      <formula>1</formula>
    </cfRule>
  </conditionalFormatting>
  <conditionalFormatting sqref="N18">
    <cfRule type="cellIs" dxfId="73" priority="5" operator="equal">
      <formula>1</formula>
    </cfRule>
  </conditionalFormatting>
  <conditionalFormatting sqref="N22:N23">
    <cfRule type="cellIs" dxfId="72" priority="22" stopIfTrue="1" operator="equal">
      <formula>0</formula>
    </cfRule>
  </conditionalFormatting>
  <conditionalFormatting sqref="O10">
    <cfRule type="cellIs" dxfId="71" priority="1" operator="equal">
      <formula>1</formula>
    </cfRule>
  </conditionalFormatting>
  <conditionalFormatting sqref="O18 N19:O20">
    <cfRule type="cellIs" dxfId="70" priority="18" stopIfTrue="1" operator="equal">
      <formula>0</formula>
    </cfRule>
  </conditionalFormatting>
  <conditionalFormatting sqref="R107:R156">
    <cfRule type="cellIs" dxfId="69" priority="2" operator="notEqual">
      <formula>1</formula>
    </cfRule>
    <cfRule type="cellIs" dxfId="68" priority="3" operator="equal">
      <formula>1</formula>
    </cfRule>
  </conditionalFormatting>
  <conditionalFormatting sqref="S65">
    <cfRule type="cellIs" dxfId="67" priority="20" operator="equal">
      <formula>1</formula>
    </cfRule>
    <cfRule type="cellIs" dxfId="66" priority="21" operator="notEqual">
      <formula>1</formula>
    </cfRule>
  </conditionalFormatting>
  <dataValidations count="5">
    <dataValidation type="decimal" errorStyle="information" operator="lessThanOrEqual" allowBlank="1" showInputMessage="1" showErrorMessage="1" error="Bitte nur Werte bis max. 15% verwenden." prompt="Bitte nur Werte bis max. 15% verwenden." sqref="E84" xr:uid="{F0A8571A-E77F-44D7-99FB-A9F665632FD6}">
      <formula1>0.15</formula1>
    </dataValidation>
    <dataValidation type="list" allowBlank="1" showInputMessage="1" showErrorMessage="1" sqref="Q25:Q29" xr:uid="{E1E84C64-E82C-4FB5-9F65-667514773BBD}">
      <formula1>$H$33:$O$33</formula1>
    </dataValidation>
    <dataValidation type="list" allowBlank="1" sqref="E86 E21" xr:uid="{2159E65E-85FF-469D-AB76-130CDCD04425}">
      <formula1>"ja, nein"</formula1>
    </dataValidation>
    <dataValidation allowBlank="1" showInputMessage="1" showErrorMessage="1" prompt="Für die weitere Berechnung werden nur Werte bis max. 100% übernommen." sqref="S89" xr:uid="{BD99699C-4AD7-4833-A1C1-B698016CE7D0}"/>
    <dataValidation type="list" allowBlank="1" showInputMessage="1" showErrorMessage="1" sqref="O107:Q156" xr:uid="{AC93DD37-69EC-4D16-AC0A-20D3E6CC7E1B}">
      <formula1>"0%,50%,100%"</formula1>
    </dataValidation>
  </dataValidations>
  <pageMargins left="0.59055118110236227" right="0.59055118110236227" top="0.78740157480314965" bottom="0.59055118110236227" header="0.51181102362204722" footer="0.27559055118110237"/>
  <pageSetup paperSize="9" scale="79" orientation="portrait" r:id="rId1"/>
  <headerFooter alignWithMargins="0">
    <oddFooter>&amp;C&amp;8Seite &amp;P von &amp;N</oddFooter>
  </headerFooter>
  <rowBreaks count="1" manualBreakCount="1">
    <brk id="51" max="1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D643B-6E42-499F-9032-7E7167C45FB0}">
  <sheetPr codeName="Tabelle12">
    <tabColor theme="9" tint="-0.249977111117893"/>
  </sheetPr>
  <dimension ref="A1:X126"/>
  <sheetViews>
    <sheetView showGridLines="0" showZeros="0" zoomScale="115" zoomScaleNormal="115" zoomScaleSheetLayoutView="115" workbookViewId="0">
      <selection activeCell="B9" sqref="B9"/>
    </sheetView>
  </sheetViews>
  <sheetFormatPr baseColWidth="10" defaultColWidth="11.453125" defaultRowHeight="10"/>
  <cols>
    <col min="1" max="1" width="0.54296875" style="1" customWidth="1"/>
    <col min="2" max="2" width="9.54296875" style="1" customWidth="1"/>
    <col min="3" max="3" width="6.54296875" style="1" customWidth="1"/>
    <col min="4" max="4" width="5.54296875" style="1" customWidth="1"/>
    <col min="5" max="5" width="5.453125" style="1" customWidth="1"/>
    <col min="6" max="6" width="1.81640625" style="1" customWidth="1"/>
    <col min="7" max="7" width="1.453125" style="1" customWidth="1"/>
    <col min="8" max="9" width="7.453125" style="1" customWidth="1"/>
    <col min="10" max="10" width="7.453125" style="42" customWidth="1"/>
    <col min="11" max="11" width="7.453125" style="1" customWidth="1"/>
    <col min="12" max="12" width="7.453125" style="42" customWidth="1"/>
    <col min="13" max="13" width="7.453125" style="1" customWidth="1"/>
    <col min="14" max="15" width="7.453125" style="42" customWidth="1"/>
    <col min="16" max="16" width="8.54296875" style="42" customWidth="1"/>
    <col min="17" max="17" width="7.453125" style="42" customWidth="1"/>
    <col min="18" max="18" width="0.81640625" style="42" customWidth="1"/>
    <col min="19" max="19" width="7.453125" style="42" customWidth="1"/>
    <col min="20" max="20" width="1.1796875" style="1" customWidth="1"/>
    <col min="21" max="21" width="7.1796875" style="202" customWidth="1"/>
    <col min="22" max="24" width="7.26953125" style="202" customWidth="1"/>
    <col min="25" max="16384" width="11.453125" style="1"/>
  </cols>
  <sheetData>
    <row r="1" spans="1:24" ht="13" customHeight="1">
      <c r="A1" s="7"/>
      <c r="B1" s="8"/>
      <c r="C1" s="8"/>
      <c r="D1" s="8"/>
      <c r="E1" s="8"/>
      <c r="F1" s="9"/>
      <c r="H1" s="214"/>
      <c r="I1" s="216"/>
      <c r="J1" s="108"/>
      <c r="K1" s="9"/>
      <c r="L1" s="1364" t="s">
        <v>57</v>
      </c>
      <c r="M1" s="1364" t="s">
        <v>108</v>
      </c>
      <c r="N1" s="1364" t="s">
        <v>126</v>
      </c>
      <c r="O1" s="1364" t="s">
        <v>58</v>
      </c>
      <c r="P1" s="1356" t="s">
        <v>11</v>
      </c>
      <c r="Q1" s="1358" t="s">
        <v>113</v>
      </c>
      <c r="R1" s="341"/>
      <c r="S1" s="332"/>
    </row>
    <row r="2" spans="1:24" ht="38.15" customHeight="1">
      <c r="A2" s="13"/>
      <c r="B2" s="2" t="s">
        <v>24</v>
      </c>
      <c r="C2" s="96"/>
      <c r="D2" s="96"/>
      <c r="E2" s="96"/>
      <c r="F2" s="97"/>
      <c r="H2" s="210" t="s">
        <v>111</v>
      </c>
      <c r="I2" s="3"/>
      <c r="J2" s="49"/>
      <c r="K2" s="14"/>
      <c r="L2" s="1365"/>
      <c r="M2" s="1365"/>
      <c r="N2" s="1365"/>
      <c r="O2" s="1365"/>
      <c r="P2" s="1357"/>
      <c r="Q2" s="1359"/>
      <c r="R2" s="341"/>
      <c r="S2" s="332"/>
      <c r="V2" s="12" t="s">
        <v>863</v>
      </c>
    </row>
    <row r="3" spans="1:24" ht="3" customHeight="1">
      <c r="A3" s="98"/>
      <c r="B3" s="99"/>
      <c r="C3" s="99"/>
      <c r="D3" s="99"/>
      <c r="E3" s="99"/>
      <c r="F3" s="100"/>
      <c r="H3" s="215"/>
      <c r="I3" s="217"/>
      <c r="J3" s="218"/>
      <c r="K3" s="100"/>
      <c r="L3" s="4"/>
      <c r="M3" s="4"/>
      <c r="N3" s="4"/>
      <c r="O3" s="4"/>
      <c r="P3" s="5"/>
      <c r="Q3" s="6"/>
      <c r="R3" s="333"/>
      <c r="S3" s="333"/>
    </row>
    <row r="4" spans="1:24">
      <c r="A4" s="2"/>
      <c r="B4" s="2"/>
      <c r="C4" s="2"/>
      <c r="D4" s="2"/>
      <c r="E4" s="2"/>
      <c r="F4" s="2"/>
      <c r="H4" s="3"/>
      <c r="I4" s="3"/>
      <c r="K4" s="10"/>
      <c r="L4" s="11"/>
      <c r="M4" s="3"/>
      <c r="N4" s="11"/>
      <c r="O4" s="11"/>
      <c r="P4" s="11"/>
      <c r="Q4" s="12"/>
      <c r="R4" s="12"/>
      <c r="S4" s="12"/>
    </row>
    <row r="5" spans="1:24" ht="11.25" customHeight="1">
      <c r="A5" s="7"/>
      <c r="B5" s="8"/>
      <c r="C5" s="8"/>
      <c r="D5" s="8"/>
      <c r="E5" s="8"/>
      <c r="F5" s="9"/>
      <c r="H5" s="15" t="s">
        <v>87</v>
      </c>
      <c r="I5" s="3"/>
      <c r="K5" s="10"/>
      <c r="L5" s="11"/>
      <c r="M5" s="3"/>
      <c r="N5" s="11"/>
      <c r="O5" s="11"/>
      <c r="P5" s="11"/>
      <c r="Q5" s="12"/>
      <c r="R5" s="12"/>
      <c r="S5" s="12"/>
      <c r="V5" s="1225"/>
      <c r="W5" s="1226"/>
      <c r="X5" s="1227"/>
    </row>
    <row r="6" spans="1:24" s="19" customFormat="1" ht="11.5" customHeight="1">
      <c r="A6" s="16"/>
      <c r="B6" s="24"/>
      <c r="C6" s="17"/>
      <c r="D6" s="17"/>
      <c r="E6" s="17"/>
      <c r="F6" s="18"/>
      <c r="H6" s="203" t="s">
        <v>0</v>
      </c>
      <c r="I6" s="17"/>
      <c r="L6" s="339">
        <f>IF(E15&gt;0,E15,0)</f>
        <v>0</v>
      </c>
      <c r="M6" s="20">
        <f>IF(E15&gt;0,'HAW-Kennwerte'!C17,0)</f>
        <v>0</v>
      </c>
      <c r="N6" s="205">
        <f>IF(L6&gt;0,IF(E21="ja",'HAW-Kennwerte'!D17,1),0)</f>
        <v>0</v>
      </c>
      <c r="O6" s="22"/>
      <c r="P6" s="23">
        <f>L6*M6*N6</f>
        <v>0</v>
      </c>
      <c r="Q6" s="328">
        <f>IF(P6&gt;0,'HAW-Kennwerte'!Z9,0)</f>
        <v>0</v>
      </c>
      <c r="R6" s="328"/>
      <c r="S6" s="328"/>
      <c r="U6" s="203"/>
      <c r="V6" s="1200"/>
      <c r="W6" s="1201"/>
      <c r="X6" s="1202"/>
    </row>
    <row r="7" spans="1:24" s="19" customFormat="1" ht="11.5" customHeight="1">
      <c r="A7" s="16"/>
      <c r="B7" s="928" t="str">
        <f>HAW!B4</f>
        <v>Hochschule …</v>
      </c>
      <c r="C7" s="928"/>
      <c r="D7" s="928"/>
      <c r="E7" s="928"/>
      <c r="F7" s="18"/>
      <c r="H7" s="203" t="s">
        <v>1</v>
      </c>
      <c r="I7" s="17"/>
      <c r="L7" s="340">
        <f>IF(E15-E16&lt;0,0,IF(E23&gt;E16,0,E16))</f>
        <v>0</v>
      </c>
      <c r="M7" s="895">
        <f>IF(L7&gt;0,'HAW-Kennwerte'!I17,0)</f>
        <v>0</v>
      </c>
      <c r="N7" s="25"/>
      <c r="O7" s="26">
        <f>IFERROR(IF(L7&gt;0,(E23*'HAW-Kennwerte'!K17)/(E16*M7),0),"")</f>
        <v>0</v>
      </c>
      <c r="P7" s="27">
        <f>IFERROR(L7*M7*O7,"")</f>
        <v>0</v>
      </c>
      <c r="Q7" s="329">
        <f>IF(P7&gt;0,'HAW-Kennwerte'!AA17,0)</f>
        <v>0</v>
      </c>
      <c r="R7" s="329"/>
      <c r="S7" s="329"/>
      <c r="U7" s="203"/>
      <c r="V7" s="1200"/>
      <c r="W7" s="1201"/>
      <c r="X7" s="1202"/>
    </row>
    <row r="8" spans="1:24" s="19" customFormat="1" ht="11.5" customHeight="1">
      <c r="A8" s="16"/>
      <c r="B8" s="473">
        <f>HAW!B5</f>
        <v>0</v>
      </c>
      <c r="F8" s="18"/>
      <c r="H8" s="203" t="s">
        <v>86</v>
      </c>
      <c r="I8" s="17"/>
      <c r="L8" s="29"/>
      <c r="M8" s="20"/>
      <c r="N8" s="21"/>
      <c r="O8" s="22"/>
      <c r="P8" s="352"/>
      <c r="Q8" s="329"/>
      <c r="R8" s="329"/>
      <c r="S8" s="329"/>
      <c r="U8" s="203"/>
      <c r="V8" s="1228"/>
      <c r="W8" s="1229"/>
      <c r="X8" s="1230"/>
    </row>
    <row r="9" spans="1:24" s="19" customFormat="1" ht="11.5" customHeight="1">
      <c r="A9" s="16"/>
      <c r="B9" s="346" t="s">
        <v>93</v>
      </c>
      <c r="C9" s="347"/>
      <c r="D9" s="347"/>
      <c r="E9" s="347"/>
      <c r="F9" s="18"/>
      <c r="H9" s="203" t="s">
        <v>159</v>
      </c>
      <c r="I9" s="17"/>
      <c r="L9" s="339"/>
      <c r="M9" s="30"/>
      <c r="N9" s="21"/>
      <c r="O9" s="22"/>
      <c r="P9" s="52"/>
      <c r="Q9" s="329"/>
      <c r="R9" s="329"/>
      <c r="S9" s="329"/>
      <c r="U9" s="203"/>
      <c r="V9" s="1228"/>
      <c r="W9" s="1229"/>
      <c r="X9" s="1230"/>
    </row>
    <row r="10" spans="1:24" s="19" customFormat="1" ht="11.5" customHeight="1">
      <c r="A10" s="16"/>
      <c r="B10" s="346" t="s">
        <v>92</v>
      </c>
      <c r="C10" s="348"/>
      <c r="D10" s="348"/>
      <c r="E10" s="348"/>
      <c r="F10" s="18"/>
      <c r="H10" s="204" t="s">
        <v>19</v>
      </c>
      <c r="I10" s="17"/>
      <c r="L10" s="765">
        <f>IF(SUM($E$17:$E$18)&gt;0,$S$84,0)</f>
        <v>0</v>
      </c>
      <c r="M10" s="30">
        <f>IF($L$10&gt;0,'HAW-Kennwerte'!R17,0)</f>
        <v>0</v>
      </c>
      <c r="N10" s="205">
        <f>IF(L10&gt;0,E19,0)</f>
        <v>0</v>
      </c>
      <c r="O10" s="26">
        <f>IF(E84&gt;0.15,0,IFERROR((M10+M10*0.9*E84*0.4)/M10,0))</f>
        <v>0</v>
      </c>
      <c r="P10" s="27">
        <f>L10*N10*(M10*O10+IF(E86="ja",'HAW-Kennwerte'!$R$29,0))</f>
        <v>0</v>
      </c>
      <c r="Q10" s="329"/>
      <c r="R10" s="329"/>
      <c r="S10" s="329"/>
      <c r="U10" s="203"/>
      <c r="V10" s="1200"/>
      <c r="W10" s="1201"/>
      <c r="X10" s="1202"/>
    </row>
    <row r="11" spans="1:24" s="19" customFormat="1" ht="11.5" customHeight="1">
      <c r="A11" s="16"/>
      <c r="B11" s="56"/>
      <c r="C11" s="56"/>
      <c r="D11" s="56"/>
      <c r="E11" s="56"/>
      <c r="F11" s="18"/>
      <c r="H11" s="204" t="s">
        <v>91</v>
      </c>
      <c r="I11" s="17"/>
      <c r="L11" s="765">
        <f>IF(SUM($E$17:$E$18)&gt;0,SUM($E$17:$E$18),0)</f>
        <v>0</v>
      </c>
      <c r="M11" s="249">
        <f>IF($L$11&gt;0,'HAW-Kennwerte'!S12,0)</f>
        <v>0</v>
      </c>
      <c r="N11" s="205">
        <f>IF(L11&gt;0,E19,0)</f>
        <v>0</v>
      </c>
      <c r="O11" s="22"/>
      <c r="P11" s="31">
        <f>L11*M11*N11</f>
        <v>0</v>
      </c>
      <c r="Q11" s="329"/>
      <c r="R11" s="329"/>
      <c r="S11" s="329"/>
      <c r="U11" s="203"/>
      <c r="V11" s="1200"/>
      <c r="W11" s="1201"/>
      <c r="X11" s="1202"/>
    </row>
    <row r="12" spans="1:24" s="19" customFormat="1" ht="11.5" customHeight="1">
      <c r="A12" s="16"/>
      <c r="B12" s="24" t="s">
        <v>8</v>
      </c>
      <c r="F12" s="18"/>
      <c r="H12" s="204" t="s">
        <v>109</v>
      </c>
      <c r="I12" s="17"/>
      <c r="L12" s="766">
        <f>IF($E$17&gt;0,$E$17,0)</f>
        <v>0</v>
      </c>
      <c r="M12" s="577">
        <f>IF(L12&gt;0,'HAW-Kennwerte'!V17,0)</f>
        <v>0</v>
      </c>
      <c r="N12" s="205">
        <f>IF(L12&gt;0,IF(E19=0,0,IF(E19&lt;0.7,0.7,E19)),0)</f>
        <v>0</v>
      </c>
      <c r="O12" s="896">
        <f>IFERROR(IF(L12&gt;0,('HAW-Kennwerte'!U17+E23/E16*'HAW-Kennwerte'!V17)/'HAW-Kennwerte'!V17,0),"")</f>
        <v>0</v>
      </c>
      <c r="P12" s="31">
        <f>IFERROR(L12*M12*N12*O12,"")</f>
        <v>0</v>
      </c>
      <c r="Q12" s="329">
        <f>IF(P12&gt;0,'HAW-Kennwerte'!AA17,0)</f>
        <v>0</v>
      </c>
      <c r="R12" s="329"/>
      <c r="S12" s="329"/>
      <c r="U12" s="203"/>
      <c r="V12" s="1200"/>
      <c r="W12" s="1201"/>
      <c r="X12" s="1202"/>
    </row>
    <row r="13" spans="1:24" s="19" customFormat="1" ht="11.5" customHeight="1">
      <c r="A13" s="16"/>
      <c r="B13" s="56" t="s">
        <v>105</v>
      </c>
      <c r="F13" s="18"/>
      <c r="H13" s="204" t="s">
        <v>110</v>
      </c>
      <c r="I13" s="17"/>
      <c r="L13" s="766">
        <f>IF($E$18&gt;0,$E$18,0)</f>
        <v>0</v>
      </c>
      <c r="M13" s="30">
        <f>IF(L13&gt;0,'HAW-Kennwerte'!X17,0)</f>
        <v>0</v>
      </c>
      <c r="N13" s="205">
        <f>IF(L13&gt;0,IF(E19=0,0,IF(E19&lt;0.7,0.7,E19)),0)</f>
        <v>0</v>
      </c>
      <c r="O13" s="22"/>
      <c r="P13" s="31">
        <f>L13*M13*N13</f>
        <v>0</v>
      </c>
      <c r="Q13" s="329">
        <f>IF(P13&gt;0,'HAW-Kennwerte'!AA17,0)</f>
        <v>0</v>
      </c>
      <c r="R13" s="329"/>
      <c r="S13" s="329"/>
      <c r="U13" s="203"/>
      <c r="V13" s="1200"/>
      <c r="W13" s="1201"/>
      <c r="X13" s="1202"/>
    </row>
    <row r="14" spans="1:24" s="19" customFormat="1" ht="11.5" customHeight="1">
      <c r="A14" s="16"/>
      <c r="C14" s="56"/>
      <c r="F14" s="18"/>
      <c r="H14" s="203" t="s">
        <v>20</v>
      </c>
      <c r="I14" s="17"/>
      <c r="K14" s="112"/>
      <c r="L14" s="32"/>
      <c r="M14" s="17"/>
      <c r="N14" s="32"/>
      <c r="O14" s="33"/>
      <c r="P14" s="34">
        <f>SUMPRODUCT(P6:P13,Q6:Q13)</f>
        <v>0</v>
      </c>
      <c r="Q14" s="330"/>
      <c r="R14" s="330"/>
      <c r="S14" s="330"/>
      <c r="U14" s="203"/>
      <c r="V14" s="1200"/>
      <c r="W14" s="1201"/>
      <c r="X14" s="1202"/>
    </row>
    <row r="15" spans="1:24" s="19" customFormat="1" ht="10.5">
      <c r="A15" s="16"/>
      <c r="B15" s="17"/>
      <c r="C15" s="17"/>
      <c r="D15" s="246" t="s">
        <v>73</v>
      </c>
      <c r="E15" s="349"/>
      <c r="F15" s="18"/>
      <c r="H15" s="17"/>
      <c r="I15" s="17"/>
      <c r="K15" s="35"/>
      <c r="L15" s="36"/>
      <c r="M15" s="17"/>
      <c r="N15" s="35"/>
      <c r="O15" s="35"/>
      <c r="P15" s="38">
        <f>SUM(P6:P14)</f>
        <v>0</v>
      </c>
      <c r="Q15" s="330"/>
      <c r="R15" s="330"/>
      <c r="S15" s="330"/>
      <c r="U15" s="203"/>
      <c r="V15" s="1228"/>
      <c r="W15" s="1229"/>
      <c r="X15" s="1230"/>
    </row>
    <row r="16" spans="1:24" s="19" customFormat="1" ht="11.25" customHeight="1">
      <c r="A16" s="16"/>
      <c r="B16" s="17"/>
      <c r="D16" s="223" t="s">
        <v>75</v>
      </c>
      <c r="E16" s="349"/>
      <c r="F16" s="18"/>
      <c r="H16" s="17"/>
      <c r="I16" s="17"/>
      <c r="K16" s="35"/>
      <c r="L16" s="36"/>
      <c r="M16" s="17"/>
      <c r="N16" s="35"/>
      <c r="O16" s="35"/>
      <c r="Q16" s="330"/>
      <c r="R16" s="330"/>
      <c r="S16" s="330"/>
      <c r="U16" s="203"/>
      <c r="V16" s="1228"/>
      <c r="W16" s="1229"/>
      <c r="X16" s="1230"/>
    </row>
    <row r="17" spans="1:24" s="19" customFormat="1">
      <c r="A17" s="16"/>
      <c r="B17" s="17"/>
      <c r="C17" s="17"/>
      <c r="D17" s="223" t="s">
        <v>185</v>
      </c>
      <c r="E17" s="764">
        <f>L84</f>
        <v>0</v>
      </c>
      <c r="F17" s="18"/>
      <c r="H17" s="24" t="s">
        <v>12</v>
      </c>
      <c r="I17" s="17"/>
      <c r="K17" s="35"/>
      <c r="L17" s="36"/>
      <c r="M17" s="17"/>
      <c r="N17" s="35"/>
      <c r="O17" s="35"/>
      <c r="P17" s="37"/>
      <c r="Q17" s="330"/>
      <c r="R17" s="330"/>
      <c r="S17" s="330"/>
      <c r="U17" s="203"/>
      <c r="V17" s="1228"/>
      <c r="W17" s="1229"/>
      <c r="X17" s="1230"/>
    </row>
    <row r="18" spans="1:24" s="19" customFormat="1" ht="11.5" customHeight="1">
      <c r="A18" s="16"/>
      <c r="B18" s="17"/>
      <c r="C18" s="17"/>
      <c r="D18" s="223" t="s">
        <v>186</v>
      </c>
      <c r="E18" s="764">
        <f>Q84</f>
        <v>0</v>
      </c>
      <c r="F18" s="18"/>
      <c r="H18" s="203" t="s">
        <v>0</v>
      </c>
      <c r="I18" s="17"/>
      <c r="L18" s="39">
        <f>E20/100</f>
        <v>0</v>
      </c>
      <c r="M18" s="30">
        <f>IF(N46=0,IF(E20&gt;0,'HAW-Kennwerte'!F17,0),'HAW-Kennwerte'!E17*81600/N46)</f>
        <v>0</v>
      </c>
      <c r="N18" s="205">
        <f>IF(L18&gt;0,IF(E21="ja",'HAW-Kennwerte'!G17,1),0)</f>
        <v>0</v>
      </c>
      <c r="O18" s="205"/>
      <c r="P18" s="23">
        <f>L18*M18*N18</f>
        <v>0</v>
      </c>
      <c r="Q18" s="328">
        <f>IF(P18&gt;0,Q6,0)</f>
        <v>0</v>
      </c>
      <c r="R18" s="328"/>
      <c r="S18" s="328"/>
      <c r="U18" s="203"/>
      <c r="V18" s="1200"/>
      <c r="W18" s="1201"/>
      <c r="X18" s="1202"/>
    </row>
    <row r="19" spans="1:24" s="19" customFormat="1" ht="11.5" customHeight="1">
      <c r="A19" s="16"/>
      <c r="B19" s="17"/>
      <c r="C19" s="17"/>
      <c r="D19" s="53" t="s">
        <v>27</v>
      </c>
      <c r="E19" s="688">
        <f>S88</f>
        <v>0</v>
      </c>
      <c r="F19" s="18"/>
      <c r="H19" s="203" t="s">
        <v>1</v>
      </c>
      <c r="I19" s="17"/>
      <c r="L19" s="39">
        <f>IF(M19=0,0,L18)</f>
        <v>0</v>
      </c>
      <c r="M19" s="30">
        <f>IF(N46=0,IF(E20=0,0,IF(P7=0,0,'HAW-Kennwerte'!P17)),'HAW-Kennwerte'!O17*81600/N46)</f>
        <v>0</v>
      </c>
      <c r="N19" s="25"/>
      <c r="O19" s="25"/>
      <c r="P19" s="27">
        <f>L19*M19</f>
        <v>0</v>
      </c>
      <c r="Q19" s="329">
        <f>IF(P19&gt;0,Q$7,0)</f>
        <v>0</v>
      </c>
      <c r="R19" s="329"/>
      <c r="S19" s="329"/>
      <c r="U19" s="203"/>
      <c r="V19" s="1200"/>
      <c r="W19" s="1201"/>
      <c r="X19" s="1202"/>
    </row>
    <row r="20" spans="1:24" s="19" customFormat="1" ht="11.5" customHeight="1">
      <c r="A20" s="16"/>
      <c r="B20" s="17"/>
      <c r="C20" s="17"/>
      <c r="D20" s="53" t="s">
        <v>28</v>
      </c>
      <c r="E20" s="55">
        <f>H47</f>
        <v>0</v>
      </c>
      <c r="F20" s="18"/>
      <c r="H20" s="203" t="s">
        <v>159</v>
      </c>
      <c r="I20" s="17"/>
      <c r="L20" s="39"/>
      <c r="M20" s="30"/>
      <c r="N20" s="21"/>
      <c r="O20" s="25"/>
      <c r="P20" s="52"/>
      <c r="Q20" s="329"/>
      <c r="R20" s="329"/>
      <c r="S20" s="329"/>
      <c r="U20" s="203"/>
      <c r="V20" s="1228"/>
      <c r="W20" s="1229"/>
      <c r="X20" s="1230"/>
    </row>
    <row r="21" spans="1:24" s="19" customFormat="1" ht="11.5" customHeight="1">
      <c r="A21" s="16"/>
      <c r="B21" s="17"/>
      <c r="C21" s="17"/>
      <c r="D21" s="223" t="s">
        <v>247</v>
      </c>
      <c r="E21" s="793" t="s">
        <v>248</v>
      </c>
      <c r="F21" s="18"/>
      <c r="H21" s="203" t="s">
        <v>20</v>
      </c>
      <c r="I21" s="17"/>
      <c r="P21" s="34">
        <f>SUMPRODUCT(P18:P20,Q18:Q20)</f>
        <v>0</v>
      </c>
      <c r="Q21" s="329"/>
      <c r="R21" s="329"/>
      <c r="S21" s="329"/>
      <c r="U21" s="203"/>
      <c r="V21" s="1200"/>
      <c r="W21" s="1201"/>
      <c r="X21" s="1202"/>
    </row>
    <row r="22" spans="1:24" s="19" customFormat="1" ht="11.5" customHeight="1">
      <c r="A22" s="16"/>
      <c r="B22" s="17"/>
      <c r="C22" s="2"/>
      <c r="F22" s="18"/>
      <c r="I22" s="17"/>
      <c r="K22" s="17"/>
      <c r="L22" s="213"/>
      <c r="M22" s="17"/>
      <c r="N22" s="112"/>
      <c r="O22" s="212"/>
      <c r="P22" s="38">
        <f>SUM(P18:P21)</f>
        <v>0</v>
      </c>
      <c r="Q22" s="28"/>
      <c r="R22" s="28"/>
      <c r="S22" s="28"/>
      <c r="U22" s="203"/>
      <c r="V22" s="1228"/>
      <c r="W22" s="1229"/>
      <c r="X22" s="1230"/>
    </row>
    <row r="23" spans="1:24" s="19" customFormat="1" ht="11.5" customHeight="1">
      <c r="A23" s="16"/>
      <c r="B23" s="17"/>
      <c r="C23" s="17"/>
      <c r="D23" s="223" t="s">
        <v>129</v>
      </c>
      <c r="E23" s="349">
        <f>P103</f>
        <v>0</v>
      </c>
      <c r="F23" s="18"/>
      <c r="I23" s="17"/>
      <c r="J23" s="112"/>
      <c r="K23" s="17"/>
      <c r="L23" s="44"/>
      <c r="M23" s="17"/>
      <c r="N23" s="112"/>
      <c r="O23" s="212"/>
      <c r="R23" s="40"/>
      <c r="S23" s="40"/>
      <c r="U23" s="203"/>
      <c r="V23" s="1228"/>
      <c r="W23" s="1229"/>
      <c r="X23" s="1230"/>
    </row>
    <row r="24" spans="1:24" ht="12.65" customHeight="1">
      <c r="A24" s="13"/>
      <c r="B24" s="2"/>
      <c r="C24" s="17"/>
      <c r="D24" s="53"/>
      <c r="E24" s="51"/>
      <c r="F24" s="14"/>
      <c r="I24" s="24" t="s">
        <v>15</v>
      </c>
      <c r="J24" s="1"/>
      <c r="K24" s="17"/>
      <c r="L24" s="41"/>
      <c r="M24" s="2"/>
      <c r="P24" s="43"/>
      <c r="Q24" s="1185" t="s">
        <v>789</v>
      </c>
      <c r="R24" s="12"/>
      <c r="S24" s="12"/>
      <c r="V24" s="1231"/>
      <c r="W24" s="1232"/>
      <c r="X24" s="1174"/>
    </row>
    <row r="25" spans="1:24" ht="11.15" customHeight="1">
      <c r="A25" s="13"/>
      <c r="B25" s="2"/>
      <c r="D25" s="53"/>
      <c r="E25" s="51"/>
      <c r="F25" s="14"/>
      <c r="I25" s="1167" t="s">
        <v>293</v>
      </c>
      <c r="J25" s="359"/>
      <c r="K25" s="359"/>
      <c r="L25" s="360"/>
      <c r="M25" s="361"/>
      <c r="N25" s="362"/>
      <c r="P25" s="351"/>
      <c r="Q25" s="718"/>
      <c r="R25" s="788"/>
      <c r="S25" s="788"/>
      <c r="V25" s="1231"/>
      <c r="W25" s="1232"/>
      <c r="X25" s="1174"/>
    </row>
    <row r="26" spans="1:24">
      <c r="A26" s="13"/>
      <c r="B26" s="2"/>
      <c r="C26" s="2"/>
      <c r="D26" s="2"/>
      <c r="E26" s="2"/>
      <c r="F26" s="14"/>
      <c r="I26" s="1168"/>
      <c r="J26" s="363"/>
      <c r="K26" s="363"/>
      <c r="L26" s="364"/>
      <c r="M26" s="363"/>
      <c r="N26" s="365"/>
      <c r="P26" s="352"/>
      <c r="Q26" s="718"/>
      <c r="R26" s="788"/>
      <c r="S26" s="788"/>
      <c r="V26" s="1231"/>
      <c r="W26" s="1232"/>
      <c r="X26" s="1174"/>
    </row>
    <row r="27" spans="1:24" s="19" customFormat="1" ht="11.5" customHeight="1">
      <c r="A27" s="16"/>
      <c r="B27" s="17"/>
      <c r="C27" s="53" t="s">
        <v>29</v>
      </c>
      <c r="D27" s="1360">
        <f>HAW!D24</f>
        <v>0</v>
      </c>
      <c r="E27" s="1361"/>
      <c r="F27" s="18"/>
      <c r="I27" s="1168"/>
      <c r="J27" s="366"/>
      <c r="K27" s="366"/>
      <c r="L27" s="366"/>
      <c r="M27" s="366"/>
      <c r="N27" s="367"/>
      <c r="O27" s="35"/>
      <c r="P27" s="352"/>
      <c r="Q27" s="719"/>
      <c r="R27" s="789"/>
      <c r="S27" s="789"/>
      <c r="U27" s="203"/>
      <c r="V27" s="1228"/>
      <c r="W27" s="1229"/>
      <c r="X27" s="1230"/>
    </row>
    <row r="28" spans="1:24" s="19" customFormat="1" ht="11.5" customHeight="1">
      <c r="A28" s="16"/>
      <c r="B28" s="17"/>
      <c r="C28" s="53" t="s">
        <v>30</v>
      </c>
      <c r="D28" s="1362">
        <f>HAW!D25</f>
        <v>0</v>
      </c>
      <c r="E28" s="1363"/>
      <c r="F28" s="18"/>
      <c r="I28" s="1168"/>
      <c r="J28" s="366"/>
      <c r="K28" s="366"/>
      <c r="L28" s="366"/>
      <c r="M28" s="366"/>
      <c r="N28" s="366"/>
      <c r="P28" s="352"/>
      <c r="Q28" s="719"/>
      <c r="R28" s="789"/>
      <c r="S28" s="789"/>
      <c r="U28" s="203"/>
      <c r="V28" s="1228"/>
      <c r="W28" s="1229"/>
      <c r="X28" s="1230"/>
    </row>
    <row r="29" spans="1:24" s="19" customFormat="1" ht="11.5" customHeight="1">
      <c r="A29" s="102"/>
      <c r="B29" s="103"/>
      <c r="C29" s="103"/>
      <c r="D29" s="103"/>
      <c r="E29" s="103"/>
      <c r="F29" s="104"/>
      <c r="I29" s="1168"/>
      <c r="J29" s="366"/>
      <c r="K29" s="366"/>
      <c r="L29" s="366"/>
      <c r="M29" s="366"/>
      <c r="N29" s="366"/>
      <c r="P29" s="353"/>
      <c r="Q29" s="719"/>
      <c r="R29" s="789"/>
      <c r="S29" s="789"/>
      <c r="U29" s="203"/>
      <c r="V29" s="1228"/>
      <c r="W29" s="1229"/>
      <c r="X29" s="1230"/>
    </row>
    <row r="30" spans="1:24" s="19" customFormat="1" ht="11.25" customHeight="1">
      <c r="A30" s="17"/>
      <c r="I30" s="17"/>
      <c r="J30" s="1366"/>
      <c r="K30" s="1366"/>
      <c r="L30" s="1366"/>
      <c r="M30" s="1366"/>
      <c r="N30" s="1366"/>
      <c r="O30" s="1366"/>
      <c r="P30" s="38">
        <f>SUM(P25:P29)</f>
        <v>0</v>
      </c>
      <c r="Q30" s="40"/>
      <c r="R30" s="40"/>
      <c r="S30" s="40"/>
      <c r="U30" s="203"/>
      <c r="V30" s="1228"/>
      <c r="W30" s="1229"/>
      <c r="X30" s="1230"/>
    </row>
    <row r="31" spans="1:24" ht="11.25" customHeight="1">
      <c r="A31" s="2"/>
      <c r="B31" s="2"/>
      <c r="C31" s="2"/>
      <c r="H31" s="106"/>
      <c r="I31" s="224"/>
      <c r="J31" s="225"/>
      <c r="K31" s="224"/>
      <c r="L31" s="226"/>
      <c r="M31" s="225"/>
      <c r="N31" s="107"/>
      <c r="O31" s="107"/>
      <c r="P31" s="227"/>
      <c r="Q31" s="50"/>
      <c r="R31" s="50"/>
      <c r="S31" s="50"/>
      <c r="V31" s="1231"/>
      <c r="W31" s="1232"/>
      <c r="X31" s="1174"/>
    </row>
    <row r="32" spans="1:24" ht="11.25" customHeight="1">
      <c r="A32" s="2"/>
      <c r="B32" s="2"/>
      <c r="C32" s="2"/>
      <c r="I32" s="47"/>
      <c r="J32" s="24"/>
      <c r="K32" s="47"/>
      <c r="L32" s="48"/>
      <c r="M32" s="24"/>
      <c r="N32" s="49"/>
      <c r="O32" s="49"/>
      <c r="P32" s="50"/>
      <c r="Q32" s="50"/>
      <c r="R32" s="50"/>
      <c r="S32" s="50"/>
      <c r="V32" s="1231"/>
      <c r="W32" s="1232"/>
      <c r="X32" s="1174"/>
    </row>
    <row r="33" spans="1:24" ht="50.15" customHeight="1" thickBot="1">
      <c r="A33" s="2"/>
      <c r="B33" s="2"/>
      <c r="C33" s="2"/>
      <c r="D33" s="2"/>
      <c r="F33" s="219" t="s">
        <v>16</v>
      </c>
      <c r="G33" s="2"/>
      <c r="H33" s="220" t="s">
        <v>0</v>
      </c>
      <c r="I33" s="220" t="s">
        <v>1</v>
      </c>
      <c r="J33" s="221" t="s">
        <v>197</v>
      </c>
      <c r="K33" s="221" t="s">
        <v>159</v>
      </c>
      <c r="L33" s="221" t="s">
        <v>198</v>
      </c>
      <c r="M33" s="221" t="s">
        <v>22</v>
      </c>
      <c r="N33" s="220" t="s">
        <v>20</v>
      </c>
      <c r="O33" s="221" t="s">
        <v>199</v>
      </c>
      <c r="T33" s="77"/>
      <c r="V33" s="1231"/>
      <c r="W33" s="1232"/>
      <c r="X33" s="1174"/>
    </row>
    <row r="34" spans="1:24" ht="17.149999999999999" customHeight="1" thickBot="1">
      <c r="B34" s="2"/>
      <c r="C34" s="2"/>
      <c r="D34" s="2"/>
      <c r="G34" s="2"/>
      <c r="H34" s="222">
        <f>P6+P18+SUMIF(Q25:Q29,H33,P25:P29)</f>
        <v>0</v>
      </c>
      <c r="I34" s="222">
        <f>IFERROR(P7+P19+SUMIF(Q25:Q29,I33,P25:P29),"")</f>
        <v>0</v>
      </c>
      <c r="J34" s="222">
        <f>P8+SUMIF(Q25:Q29,J33,P25:P29)</f>
        <v>0</v>
      </c>
      <c r="K34" s="222">
        <f>SUMIF(Q25:Q29,K33,P25:P29)</f>
        <v>0</v>
      </c>
      <c r="L34" s="222">
        <f>P10+P11+SUMIF(Q25:Q29,L33,P25:P29)</f>
        <v>0</v>
      </c>
      <c r="M34" s="222">
        <f>IFERROR(P12+P13+SUMIF(Q25:Q29,M33,P25:P29),"")</f>
        <v>0</v>
      </c>
      <c r="N34" s="222">
        <f>P14+P21+SUMIF(Q25:Q29,N33,P25:P29)</f>
        <v>0</v>
      </c>
      <c r="O34" s="222">
        <f>SUMIF(Q25:Q29,O33,P25:P29)</f>
        <v>0</v>
      </c>
      <c r="P34" s="331">
        <f>SUM(H34:O34)</f>
        <v>0</v>
      </c>
      <c r="Q34" s="101"/>
      <c r="R34" s="101"/>
      <c r="S34" s="101"/>
      <c r="T34" s="77"/>
      <c r="V34" s="1231"/>
      <c r="W34" s="1232"/>
      <c r="X34" s="1174"/>
    </row>
    <row r="35" spans="1:24">
      <c r="A35" s="106"/>
      <c r="B35" s="105"/>
      <c r="C35" s="46"/>
      <c r="D35" s="46"/>
      <c r="E35" s="46"/>
      <c r="F35" s="46"/>
      <c r="G35" s="106"/>
      <c r="H35" s="106"/>
      <c r="I35" s="106"/>
      <c r="J35" s="107"/>
      <c r="K35" s="106"/>
      <c r="L35" s="107"/>
      <c r="M35" s="106"/>
      <c r="N35" s="107"/>
      <c r="O35" s="107"/>
      <c r="P35" s="107"/>
      <c r="Q35" s="107"/>
      <c r="R35" s="49"/>
      <c r="S35" s="49"/>
      <c r="T35" s="77"/>
      <c r="V35" s="1231"/>
      <c r="W35" s="1232"/>
      <c r="X35" s="1174"/>
    </row>
    <row r="36" spans="1:24">
      <c r="S36" s="49"/>
      <c r="T36" s="77"/>
      <c r="V36" s="1231"/>
      <c r="W36" s="1232"/>
      <c r="X36" s="1174"/>
    </row>
    <row r="37" spans="1:24">
      <c r="A37" s="7"/>
      <c r="B37" s="8"/>
      <c r="C37" s="8"/>
      <c r="D37" s="8"/>
      <c r="E37" s="8"/>
      <c r="F37" s="8"/>
      <c r="G37" s="8"/>
      <c r="H37" s="8"/>
      <c r="I37" s="8"/>
      <c r="J37" s="8"/>
      <c r="K37" s="8"/>
      <c r="L37" s="8"/>
      <c r="M37" s="8"/>
      <c r="N37" s="108"/>
      <c r="O37" s="108"/>
      <c r="P37" s="109"/>
      <c r="S37" s="49"/>
      <c r="T37" s="77"/>
      <c r="V37" s="1231"/>
      <c r="W37" s="1232"/>
      <c r="X37" s="1174"/>
    </row>
    <row r="38" spans="1:24" ht="10.5">
      <c r="A38" s="13"/>
      <c r="E38" s="110" t="s">
        <v>70</v>
      </c>
      <c r="F38" s="2"/>
      <c r="G38" s="2"/>
      <c r="H38" s="2"/>
      <c r="I38" s="2"/>
      <c r="J38" s="2"/>
      <c r="K38" s="238" t="s">
        <v>69</v>
      </c>
      <c r="M38" s="2"/>
      <c r="N38" s="49"/>
      <c r="O38" s="49"/>
      <c r="P38" s="111"/>
      <c r="S38" s="49"/>
      <c r="T38" s="77"/>
      <c r="V38" s="1231"/>
      <c r="W38" s="1232"/>
      <c r="X38" s="1174"/>
    </row>
    <row r="39" spans="1:24" ht="2.5" customHeight="1">
      <c r="A39" s="13"/>
      <c r="E39" s="110"/>
      <c r="F39" s="2"/>
      <c r="G39" s="2"/>
      <c r="H39" s="46"/>
      <c r="I39" s="2"/>
      <c r="J39" s="2"/>
      <c r="K39" s="2"/>
      <c r="L39" s="2"/>
      <c r="M39" s="2"/>
      <c r="N39" s="49"/>
      <c r="O39" s="49"/>
      <c r="P39" s="111"/>
      <c r="S39" s="49"/>
      <c r="T39" s="77"/>
      <c r="V39" s="1231"/>
      <c r="W39" s="1232"/>
      <c r="X39" s="1174"/>
    </row>
    <row r="40" spans="1:24" ht="11.15" customHeight="1">
      <c r="A40" s="13"/>
      <c r="E40" s="207">
        <f>IF($E$44&gt;2023,$E$44-4,"")</f>
        <v>2021</v>
      </c>
      <c r="H40" s="354"/>
      <c r="I40" s="2" t="s">
        <v>25</v>
      </c>
      <c r="J40" s="2"/>
      <c r="K40" s="2"/>
      <c r="L40" s="49"/>
      <c r="M40" s="2"/>
      <c r="N40" s="49"/>
      <c r="O40" s="49"/>
      <c r="P40" s="111"/>
      <c r="S40" s="49"/>
      <c r="T40" s="77"/>
      <c r="V40" s="1231"/>
      <c r="W40" s="1232"/>
      <c r="X40" s="1174"/>
    </row>
    <row r="41" spans="1:24" ht="11.15" customHeight="1">
      <c r="A41" s="13"/>
      <c r="E41" s="207">
        <f>IF($E$44&gt;2023,$E$44-3,"")</f>
        <v>2022</v>
      </c>
      <c r="H41" s="354"/>
      <c r="I41" s="228" t="s">
        <v>25</v>
      </c>
      <c r="J41" s="2"/>
      <c r="K41" s="2"/>
      <c r="L41" s="49"/>
      <c r="M41" s="2"/>
      <c r="N41" s="49"/>
      <c r="O41" s="49"/>
      <c r="P41" s="111"/>
      <c r="S41" s="49"/>
      <c r="T41" s="77"/>
      <c r="V41" s="1231"/>
      <c r="W41" s="1232"/>
      <c r="X41" s="1174"/>
    </row>
    <row r="42" spans="1:24" ht="11.15" customHeight="1">
      <c r="A42" s="13"/>
      <c r="E42" s="207">
        <f>IF($E$44&gt;2023,$E$44-2,"")</f>
        <v>2023</v>
      </c>
      <c r="H42" s="354"/>
      <c r="I42" s="228" t="s">
        <v>25</v>
      </c>
      <c r="J42" s="2"/>
      <c r="K42" s="2"/>
      <c r="L42" s="49"/>
      <c r="M42" s="2"/>
      <c r="N42" s="49"/>
      <c r="O42" s="49"/>
      <c r="P42" s="111"/>
      <c r="S42" s="49"/>
      <c r="T42" s="77"/>
      <c r="V42" s="1231"/>
      <c r="W42" s="1232"/>
      <c r="X42" s="1174"/>
    </row>
    <row r="43" spans="1:24" ht="11.15" customHeight="1">
      <c r="A43" s="13"/>
      <c r="E43" s="207">
        <f>IF($E$44&gt;2023,$E$44-1,"")</f>
        <v>2024</v>
      </c>
      <c r="H43" s="354"/>
      <c r="I43" s="228" t="s">
        <v>25</v>
      </c>
      <c r="J43" s="2"/>
      <c r="M43" s="207" t="s">
        <v>56</v>
      </c>
      <c r="N43" s="247">
        <f>'HAW-Kennwerte'!E29</f>
        <v>81600</v>
      </c>
      <c r="O43" s="49"/>
      <c r="P43" s="111"/>
      <c r="S43" s="49"/>
      <c r="T43" s="77"/>
      <c r="V43" s="1231"/>
      <c r="W43" s="1232"/>
      <c r="X43" s="1174"/>
    </row>
    <row r="44" spans="1:24" ht="11.15" customHeight="1">
      <c r="A44" s="13"/>
      <c r="D44" s="236" t="s">
        <v>184</v>
      </c>
      <c r="E44" s="711">
        <v>2025</v>
      </c>
      <c r="H44" s="354"/>
      <c r="I44" s="228" t="s">
        <v>25</v>
      </c>
      <c r="J44" s="49"/>
      <c r="M44" s="207" t="s">
        <v>119</v>
      </c>
      <c r="N44" s="475"/>
      <c r="O44" s="49"/>
      <c r="P44" s="111"/>
      <c r="S44" s="49"/>
      <c r="T44" s="77"/>
      <c r="V44" s="1231"/>
      <c r="W44" s="1232"/>
      <c r="X44" s="1174"/>
    </row>
    <row r="45" spans="1:24" ht="2.5" customHeight="1">
      <c r="A45" s="13"/>
      <c r="E45" s="2"/>
      <c r="F45" s="2"/>
      <c r="H45" s="2"/>
      <c r="I45" s="2"/>
      <c r="J45" s="49"/>
      <c r="M45" s="2"/>
      <c r="N45" s="2"/>
      <c r="O45" s="49"/>
      <c r="P45" s="111"/>
      <c r="S45" s="49"/>
      <c r="T45" s="77"/>
      <c r="V45" s="1231"/>
      <c r="W45" s="1232"/>
      <c r="X45" s="1174"/>
    </row>
    <row r="46" spans="1:24">
      <c r="A46" s="13"/>
      <c r="E46" s="2"/>
      <c r="F46" s="2"/>
      <c r="G46" s="116" t="s">
        <v>33</v>
      </c>
      <c r="H46" s="354"/>
      <c r="I46" s="2"/>
      <c r="J46" s="49"/>
      <c r="M46" s="116" t="s">
        <v>33</v>
      </c>
      <c r="N46" s="354"/>
      <c r="O46" s="49"/>
      <c r="P46" s="111"/>
      <c r="S46" s="49"/>
      <c r="T46" s="77"/>
      <c r="V46" s="1231"/>
      <c r="W46" s="1232"/>
      <c r="X46" s="1174"/>
    </row>
    <row r="47" spans="1:24" ht="12" customHeight="1">
      <c r="A47" s="13"/>
      <c r="E47" s="2"/>
      <c r="F47" s="2"/>
      <c r="G47" s="2"/>
      <c r="H47" s="54">
        <f>IF(H46=0,(H44*1.02*5+H43*1.04*4+H42*1.06*3+H41*1.08*2+H40*1.1)/15,H46)</f>
        <v>0</v>
      </c>
      <c r="I47" s="2"/>
      <c r="J47" s="49"/>
      <c r="M47" s="2"/>
      <c r="N47" s="54">
        <f>IF(N46&gt;0,N46,'HAW-Kennwerte'!E31)</f>
        <v>81600</v>
      </c>
      <c r="O47" s="49"/>
      <c r="P47" s="111"/>
      <c r="S47" s="49"/>
      <c r="T47" s="77"/>
      <c r="V47" s="1200"/>
      <c r="W47" s="1201"/>
      <c r="X47" s="1202"/>
    </row>
    <row r="48" spans="1:24">
      <c r="A48" s="45"/>
      <c r="B48" s="46"/>
      <c r="C48" s="46"/>
      <c r="D48" s="46"/>
      <c r="E48" s="46"/>
      <c r="F48" s="46"/>
      <c r="G48" s="46"/>
      <c r="H48" s="46"/>
      <c r="I48" s="46"/>
      <c r="J48" s="119"/>
      <c r="K48" s="46"/>
      <c r="L48" s="119"/>
      <c r="M48" s="46"/>
      <c r="N48" s="119"/>
      <c r="O48" s="119"/>
      <c r="P48" s="120"/>
      <c r="S48" s="49"/>
      <c r="T48" s="77"/>
      <c r="V48" s="1231"/>
      <c r="W48" s="1232"/>
      <c r="X48" s="1174"/>
    </row>
    <row r="49" spans="1:24" ht="11.25" customHeight="1">
      <c r="B49" s="117" t="s">
        <v>34</v>
      </c>
      <c r="S49" s="49"/>
      <c r="T49" s="2"/>
      <c r="V49" s="1231"/>
      <c r="W49" s="1232"/>
      <c r="X49" s="1174"/>
    </row>
    <row r="50" spans="1:24">
      <c r="A50" s="2"/>
      <c r="B50" s="106"/>
      <c r="C50" s="209"/>
      <c r="D50" s="106"/>
      <c r="E50" s="106"/>
      <c r="F50" s="106"/>
      <c r="G50" s="106"/>
      <c r="H50" s="106"/>
      <c r="I50" s="106"/>
      <c r="J50" s="106"/>
      <c r="K50" s="107"/>
      <c r="L50" s="106"/>
      <c r="M50" s="107"/>
      <c r="N50" s="106"/>
      <c r="O50" s="107"/>
      <c r="P50" s="107"/>
      <c r="Q50" s="107"/>
      <c r="R50" s="49"/>
      <c r="S50" s="49"/>
      <c r="T50" s="49"/>
      <c r="V50" s="1231"/>
      <c r="W50" s="1232"/>
      <c r="X50" s="1174"/>
    </row>
    <row r="51" spans="1:24">
      <c r="A51" s="2"/>
      <c r="J51" s="1"/>
      <c r="K51" s="42"/>
      <c r="L51" s="1"/>
      <c r="M51" s="42"/>
      <c r="N51" s="1"/>
      <c r="Q51" s="201" t="str">
        <f>HAW!B28</f>
        <v>Kennwertverfahren NRW für HAW; HIS-Institut für Hochschulentwicklung e.V. (24.04.2026)</v>
      </c>
      <c r="R51" s="250"/>
      <c r="S51" s="2"/>
      <c r="T51" s="2"/>
      <c r="V51" s="1231"/>
      <c r="W51" s="1232"/>
      <c r="X51" s="1174"/>
    </row>
    <row r="52" spans="1:24">
      <c r="A52" s="2"/>
      <c r="T52" s="121"/>
      <c r="V52" s="1231"/>
      <c r="W52" s="1232"/>
      <c r="X52" s="1174"/>
    </row>
    <row r="53" spans="1:24">
      <c r="A53" s="2"/>
      <c r="T53" s="121"/>
      <c r="V53" s="1231"/>
      <c r="W53" s="1232"/>
      <c r="X53" s="1174"/>
    </row>
    <row r="54" spans="1:24" ht="10.5">
      <c r="A54" s="2"/>
      <c r="B54" s="368" t="str">
        <f>IF(B8=0,B7,CONCATENATE(B7,B8))</f>
        <v>Hochschule …</v>
      </c>
      <c r="C54" s="369"/>
      <c r="D54" s="369"/>
      <c r="E54" s="369"/>
      <c r="F54" s="369"/>
      <c r="G54" s="369"/>
      <c r="H54" s="369"/>
      <c r="I54" s="369"/>
      <c r="J54" s="370"/>
      <c r="K54" s="369"/>
      <c r="L54" s="370"/>
      <c r="M54" s="369"/>
      <c r="N54" s="370"/>
      <c r="O54" s="370"/>
      <c r="P54" s="370"/>
      <c r="Q54" s="370"/>
      <c r="R54" s="370"/>
      <c r="S54" s="370"/>
      <c r="T54" s="121"/>
      <c r="V54" s="1231"/>
      <c r="W54" s="1232"/>
      <c r="X54" s="1174"/>
    </row>
    <row r="55" spans="1:24">
      <c r="A55" s="2"/>
      <c r="B55" s="369" t="str">
        <f>B9</f>
        <v>[Fakultät/Fachbereich]</v>
      </c>
      <c r="C55" s="369"/>
      <c r="D55" s="369"/>
      <c r="E55" s="369"/>
      <c r="F55" s="369"/>
      <c r="G55" s="369"/>
      <c r="H55" s="369"/>
      <c r="I55" s="369"/>
      <c r="J55" s="370"/>
      <c r="K55" s="369"/>
      <c r="L55" s="370"/>
      <c r="M55" s="369"/>
      <c r="N55" s="370"/>
      <c r="O55" s="370"/>
      <c r="P55" s="370"/>
      <c r="Q55" s="370"/>
      <c r="R55" s="370"/>
      <c r="S55" s="370"/>
      <c r="T55" s="121"/>
      <c r="V55" s="1231"/>
      <c r="W55" s="1232"/>
      <c r="X55" s="1174"/>
    </row>
    <row r="56" spans="1:24">
      <c r="A56" s="2"/>
      <c r="B56" s="369" t="str">
        <f>B10</f>
        <v>[Department, Institut o.a.]</v>
      </c>
      <c r="C56" s="369"/>
      <c r="D56" s="369"/>
      <c r="E56" s="369"/>
      <c r="F56" s="369"/>
      <c r="G56" s="369"/>
      <c r="H56" s="369"/>
      <c r="I56" s="369"/>
      <c r="J56" s="370"/>
      <c r="K56" s="369"/>
      <c r="L56" s="370"/>
      <c r="M56" s="369"/>
      <c r="N56" s="370"/>
      <c r="O56" s="370"/>
      <c r="P56" s="370"/>
      <c r="Q56" s="370"/>
      <c r="R56" s="370"/>
      <c r="S56" s="370"/>
      <c r="T56" s="121"/>
      <c r="V56" s="1231"/>
      <c r="W56" s="1232"/>
      <c r="X56" s="1174"/>
    </row>
    <row r="57" spans="1:24">
      <c r="A57" s="2"/>
      <c r="B57" s="369" t="str">
        <f>CONCATENATE(B12,": ",B13)</f>
        <v>Lehr- und Forschungsbereich: Wirtschaftsingenieurwesen</v>
      </c>
      <c r="C57" s="369"/>
      <c r="D57" s="369"/>
      <c r="E57" s="369"/>
      <c r="F57" s="369"/>
      <c r="G57" s="369"/>
      <c r="H57" s="369"/>
      <c r="I57" s="369"/>
      <c r="J57" s="370"/>
      <c r="K57" s="369"/>
      <c r="L57" s="370"/>
      <c r="M57" s="369"/>
      <c r="N57" s="370"/>
      <c r="O57" s="370"/>
      <c r="P57" s="370"/>
      <c r="Q57" s="370"/>
      <c r="R57" s="370"/>
      <c r="S57" s="370"/>
      <c r="T57" s="121"/>
      <c r="V57" s="1231"/>
      <c r="W57" s="1232"/>
      <c r="X57" s="1174"/>
    </row>
    <row r="58" spans="1:24">
      <c r="A58" s="2"/>
      <c r="T58" s="121"/>
      <c r="V58" s="1231"/>
      <c r="W58" s="1232"/>
      <c r="X58" s="1174"/>
    </row>
    <row r="59" spans="1:24">
      <c r="A59" s="2"/>
      <c r="B59" s="378" t="s">
        <v>95</v>
      </c>
      <c r="T59" s="121"/>
      <c r="V59" s="1231"/>
      <c r="W59" s="1232"/>
      <c r="X59" s="1174"/>
    </row>
    <row r="60" spans="1:24" s="202" customFormat="1" ht="2.25" customHeight="1">
      <c r="A60" s="110"/>
      <c r="B60" s="909"/>
      <c r="C60" s="910"/>
      <c r="D60" s="910"/>
      <c r="E60" s="910"/>
      <c r="F60" s="910"/>
      <c r="G60" s="910"/>
      <c r="H60" s="910"/>
      <c r="I60" s="910"/>
      <c r="J60" s="544"/>
      <c r="K60" s="910"/>
      <c r="L60" s="544"/>
      <c r="M60" s="910"/>
      <c r="N60" s="544"/>
      <c r="O60" s="544"/>
      <c r="P60" s="544"/>
      <c r="Q60" s="544"/>
      <c r="R60" s="544"/>
      <c r="S60" s="544"/>
      <c r="T60" s="320"/>
      <c r="V60" s="1231"/>
      <c r="W60" s="1232"/>
      <c r="X60" s="1174"/>
    </row>
    <row r="61" spans="1:24" s="202" customFormat="1" ht="10" customHeight="1">
      <c r="A61" s="206"/>
      <c r="B61" s="210"/>
      <c r="C61" s="206"/>
      <c r="D61" s="206"/>
      <c r="E61" s="206"/>
      <c r="F61" s="206"/>
      <c r="G61" s="206"/>
      <c r="H61" s="238"/>
      <c r="I61" s="238"/>
      <c r="J61" s="239"/>
      <c r="K61" s="238"/>
      <c r="L61" s="239"/>
      <c r="M61" s="238"/>
      <c r="N61" s="239"/>
      <c r="O61" s="239"/>
      <c r="P61" s="239"/>
      <c r="Q61" s="208"/>
      <c r="R61" s="208"/>
      <c r="S61" s="1166" t="s">
        <v>60</v>
      </c>
      <c r="T61" s="321"/>
      <c r="V61" s="1231"/>
      <c r="W61" s="1232"/>
      <c r="X61" s="1174"/>
    </row>
    <row r="62" spans="1:24" s="202" customFormat="1" ht="10" customHeight="1">
      <c r="A62" s="206"/>
      <c r="B62" s="210"/>
      <c r="C62" s="206"/>
      <c r="E62" s="206"/>
      <c r="F62" s="206"/>
      <c r="G62" s="206"/>
      <c r="H62" s="240" t="s">
        <v>60</v>
      </c>
      <c r="I62" s="241"/>
      <c r="J62" s="241"/>
      <c r="K62" s="240"/>
      <c r="L62" s="240"/>
      <c r="M62" s="243" t="s">
        <v>61</v>
      </c>
      <c r="N62" s="241"/>
      <c r="O62" s="240"/>
      <c r="P62" s="240"/>
      <c r="Q62" s="240"/>
      <c r="R62" s="240"/>
      <c r="S62" s="1189" t="s">
        <v>857</v>
      </c>
      <c r="T62" s="321"/>
      <c r="V62" s="1231"/>
      <c r="W62" s="1232"/>
      <c r="X62" s="1174"/>
    </row>
    <row r="63" spans="1:24" ht="10.4" customHeight="1">
      <c r="A63" s="2"/>
      <c r="B63" s="235"/>
      <c r="C63" s="204"/>
      <c r="F63" s="2"/>
      <c r="G63" s="2"/>
      <c r="H63" s="49"/>
      <c r="I63" s="2"/>
      <c r="J63" s="2"/>
      <c r="K63" s="49"/>
      <c r="L63" s="1"/>
      <c r="M63" s="244"/>
      <c r="N63" s="2"/>
      <c r="O63" s="49"/>
      <c r="P63" s="1"/>
      <c r="Q63" s="49"/>
      <c r="R63" s="49"/>
      <c r="S63" s="234"/>
      <c r="T63" s="321"/>
      <c r="V63" s="1231"/>
      <c r="W63" s="1232"/>
      <c r="X63" s="1174"/>
    </row>
    <row r="64" spans="1:24" ht="10.5">
      <c r="A64" s="2"/>
      <c r="B64" s="235"/>
      <c r="C64" s="204"/>
      <c r="E64" s="237" t="s">
        <v>66</v>
      </c>
      <c r="F64" s="2"/>
      <c r="G64" s="2"/>
      <c r="H64" s="202" t="s">
        <v>67</v>
      </c>
      <c r="I64" s="2"/>
      <c r="J64" s="2"/>
      <c r="K64" s="49"/>
      <c r="L64" s="1"/>
      <c r="M64" s="245" t="s">
        <v>67</v>
      </c>
      <c r="N64" s="2"/>
      <c r="O64" s="49"/>
      <c r="P64" s="1"/>
      <c r="T64" s="321"/>
      <c r="V64" s="1231"/>
      <c r="W64" s="1232"/>
      <c r="X64" s="1174"/>
    </row>
    <row r="65" spans="1:24" ht="12" customHeight="1">
      <c r="A65" s="2"/>
      <c r="B65" s="210"/>
      <c r="C65" s="206"/>
      <c r="D65" s="236" t="s">
        <v>65</v>
      </c>
      <c r="E65" s="355"/>
      <c r="F65" s="2"/>
      <c r="G65" s="2"/>
      <c r="H65" s="325">
        <f>SUM(H70:H81)</f>
        <v>0</v>
      </c>
      <c r="I65" s="326"/>
      <c r="J65" s="2"/>
      <c r="K65" s="49"/>
      <c r="L65" s="1"/>
      <c r="M65" s="1191">
        <f>SUM(M70:M81)</f>
        <v>0</v>
      </c>
      <c r="N65" s="326"/>
      <c r="O65" s="49"/>
      <c r="P65" s="1"/>
      <c r="S65" s="323">
        <f>H65+M65</f>
        <v>0</v>
      </c>
      <c r="T65" s="321"/>
      <c r="V65" s="1231"/>
      <c r="W65" s="1232"/>
      <c r="X65" s="1174"/>
    </row>
    <row r="66" spans="1:24" ht="12" customHeight="1">
      <c r="A66" s="2"/>
      <c r="B66" s="210"/>
      <c r="C66" s="206"/>
      <c r="D66" s="236" t="s">
        <v>74</v>
      </c>
      <c r="E66" s="356"/>
      <c r="F66" s="2"/>
      <c r="G66" s="2"/>
      <c r="H66" s="338">
        <f>H65*SUM(E65,E66)</f>
        <v>0</v>
      </c>
      <c r="I66" s="327" t="str">
        <f>IF(H66&gt;0,"SWS","")</f>
        <v/>
      </c>
      <c r="J66" s="2"/>
      <c r="K66" s="49"/>
      <c r="L66" s="1"/>
      <c r="M66" s="1192">
        <f>M65*SUM(E65,E66)</f>
        <v>0</v>
      </c>
      <c r="N66" s="327" t="str">
        <f>IF(M66&gt;0,"SWS","")</f>
        <v/>
      </c>
      <c r="O66" s="49"/>
      <c r="P66" s="1"/>
      <c r="S66" s="55">
        <f>SUM(H66,M66)</f>
        <v>0</v>
      </c>
      <c r="T66" s="321"/>
      <c r="V66" s="1231"/>
      <c r="W66" s="1232"/>
      <c r="X66" s="1174"/>
    </row>
    <row r="67" spans="1:24" ht="10.5">
      <c r="A67" s="2"/>
      <c r="B67" s="13"/>
      <c r="C67" s="2"/>
      <c r="D67" s="2"/>
      <c r="E67" s="324">
        <f>SUM(E65:E66)</f>
        <v>0</v>
      </c>
      <c r="F67" s="2"/>
      <c r="G67" s="2"/>
      <c r="H67" s="2"/>
      <c r="I67" s="2"/>
      <c r="J67" s="2"/>
      <c r="K67" s="49"/>
      <c r="L67" s="1"/>
      <c r="M67" s="244"/>
      <c r="N67" s="2"/>
      <c r="O67" s="49"/>
      <c r="P67" s="49"/>
      <c r="Q67" s="49"/>
      <c r="R67" s="49"/>
      <c r="S67" s="49"/>
      <c r="T67" s="321"/>
      <c r="V67" s="1231"/>
      <c r="W67" s="1232"/>
      <c r="X67" s="1174"/>
    </row>
    <row r="68" spans="1:24">
      <c r="A68" s="2"/>
      <c r="B68" s="13"/>
      <c r="C68" s="2"/>
      <c r="D68" s="2"/>
      <c r="F68" s="2"/>
      <c r="G68" s="2"/>
      <c r="H68" s="2"/>
      <c r="I68" s="2"/>
      <c r="J68" s="2"/>
      <c r="K68" s="113" t="s">
        <v>97</v>
      </c>
      <c r="L68" s="1"/>
      <c r="M68" s="244"/>
      <c r="N68" s="2"/>
      <c r="O68" s="49"/>
      <c r="P68" s="113" t="s">
        <v>97</v>
      </c>
      <c r="Q68" s="49"/>
      <c r="R68" s="49"/>
      <c r="S68" s="49"/>
      <c r="T68" s="321"/>
      <c r="V68" s="1231"/>
      <c r="W68" s="1232"/>
      <c r="X68" s="1174"/>
    </row>
    <row r="69" spans="1:24" ht="13.4" customHeight="1">
      <c r="A69" s="2"/>
      <c r="B69" s="13"/>
      <c r="C69" s="2"/>
      <c r="D69" s="2"/>
      <c r="E69" s="114"/>
      <c r="F69" s="2"/>
      <c r="G69" s="2"/>
      <c r="H69" s="113" t="s">
        <v>83</v>
      </c>
      <c r="I69" s="113" t="s">
        <v>31</v>
      </c>
      <c r="J69" s="113" t="s">
        <v>32</v>
      </c>
      <c r="K69" s="113" t="s">
        <v>96</v>
      </c>
      <c r="L69" s="113" t="s">
        <v>94</v>
      </c>
      <c r="M69" s="319" t="s">
        <v>83</v>
      </c>
      <c r="N69" s="113" t="s">
        <v>31</v>
      </c>
      <c r="O69" s="113" t="s">
        <v>32</v>
      </c>
      <c r="P69" s="113" t="s">
        <v>96</v>
      </c>
      <c r="Q69" s="113" t="s">
        <v>94</v>
      </c>
      <c r="R69" s="113"/>
      <c r="S69" s="49"/>
      <c r="T69" s="321"/>
      <c r="V69" s="1231"/>
      <c r="W69" s="1232"/>
      <c r="X69" s="1174"/>
    </row>
    <row r="70" spans="1:24" ht="11.15" customHeight="1">
      <c r="A70" s="2"/>
      <c r="B70" s="13"/>
      <c r="C70" s="2"/>
      <c r="D70" s="725"/>
      <c r="E70" s="725"/>
      <c r="F70" s="731" t="s">
        <v>201</v>
      </c>
      <c r="G70" s="2"/>
      <c r="H70" s="371"/>
      <c r="I70" s="372"/>
      <c r="J70" s="373"/>
      <c r="K70" s="374"/>
      <c r="L70" s="337">
        <f>IFERROR($E$67*H70*I70/J70*K70,0)</f>
        <v>0</v>
      </c>
      <c r="M70" s="376"/>
      <c r="N70" s="372"/>
      <c r="O70" s="373"/>
      <c r="P70" s="374"/>
      <c r="Q70" s="115">
        <f>IFERROR($E$67*M70*N70/O70*P70,0)</f>
        <v>0</v>
      </c>
      <c r="R70" s="342"/>
      <c r="S70" s="49"/>
      <c r="T70" s="321"/>
      <c r="V70" s="1200"/>
      <c r="W70" s="1201"/>
      <c r="X70" s="1202"/>
    </row>
    <row r="71" spans="1:24" ht="11.15" customHeight="1">
      <c r="B71" s="13"/>
      <c r="C71" s="2"/>
      <c r="D71" s="726"/>
      <c r="E71" s="726"/>
      <c r="F71" s="732" t="s">
        <v>202</v>
      </c>
      <c r="G71" s="2"/>
      <c r="H71" s="375"/>
      <c r="I71" s="372"/>
      <c r="J71" s="373"/>
      <c r="K71" s="374"/>
      <c r="L71" s="337">
        <f>IFERROR($E$67*H71*I71/J71*K71,0)</f>
        <v>0</v>
      </c>
      <c r="M71" s="377"/>
      <c r="N71" s="372"/>
      <c r="O71" s="373"/>
      <c r="P71" s="374"/>
      <c r="Q71" s="115">
        <f t="shared" ref="Q71:Q81" si="0">IFERROR($E$67*M71*N71/O71*P71,0)</f>
        <v>0</v>
      </c>
      <c r="R71" s="342"/>
      <c r="S71" s="49"/>
      <c r="T71" s="321"/>
      <c r="V71" s="1200"/>
      <c r="W71" s="1201"/>
      <c r="X71" s="1202"/>
    </row>
    <row r="72" spans="1:24" ht="11.5" customHeight="1">
      <c r="B72" s="13"/>
      <c r="C72" s="2"/>
      <c r="D72" s="726"/>
      <c r="E72" s="726"/>
      <c r="F72" s="732" t="s">
        <v>203</v>
      </c>
      <c r="G72" s="2"/>
      <c r="H72" s="375"/>
      <c r="I72" s="372"/>
      <c r="J72" s="373"/>
      <c r="K72" s="374"/>
      <c r="L72" s="337">
        <f t="shared" ref="L72:L81" si="1">IFERROR($E$67*H72*I72/J72*K72,0)</f>
        <v>0</v>
      </c>
      <c r="M72" s="377"/>
      <c r="N72" s="372"/>
      <c r="O72" s="373"/>
      <c r="P72" s="374"/>
      <c r="Q72" s="115">
        <f t="shared" si="0"/>
        <v>0</v>
      </c>
      <c r="R72" s="342"/>
      <c r="S72" s="49"/>
      <c r="T72" s="321"/>
      <c r="V72" s="1200"/>
      <c r="W72" s="1201"/>
      <c r="X72" s="1202"/>
    </row>
    <row r="73" spans="1:24">
      <c r="B73" s="13"/>
      <c r="C73" s="2"/>
      <c r="D73" s="726"/>
      <c r="E73" s="726"/>
      <c r="F73" s="732"/>
      <c r="G73" s="2"/>
      <c r="H73" s="375"/>
      <c r="I73" s="372"/>
      <c r="J73" s="373"/>
      <c r="K73" s="374"/>
      <c r="L73" s="337">
        <f t="shared" si="1"/>
        <v>0</v>
      </c>
      <c r="M73" s="377"/>
      <c r="N73" s="372"/>
      <c r="O73" s="373"/>
      <c r="P73" s="374"/>
      <c r="Q73" s="115">
        <f t="shared" si="0"/>
        <v>0</v>
      </c>
      <c r="R73" s="342"/>
      <c r="S73" s="49"/>
      <c r="T73" s="321"/>
      <c r="V73" s="1200"/>
      <c r="W73" s="1201"/>
      <c r="X73" s="1202"/>
    </row>
    <row r="74" spans="1:24">
      <c r="B74" s="13"/>
      <c r="C74" s="2"/>
      <c r="D74" s="727"/>
      <c r="E74" s="728"/>
      <c r="F74" s="732"/>
      <c r="G74" s="2"/>
      <c r="H74" s="375"/>
      <c r="I74" s="372"/>
      <c r="J74" s="373"/>
      <c r="K74" s="374"/>
      <c r="L74" s="337">
        <f t="shared" si="1"/>
        <v>0</v>
      </c>
      <c r="M74" s="377"/>
      <c r="N74" s="372"/>
      <c r="O74" s="373"/>
      <c r="P74" s="374"/>
      <c r="Q74" s="115">
        <f t="shared" si="0"/>
        <v>0</v>
      </c>
      <c r="R74" s="342"/>
      <c r="S74" s="49"/>
      <c r="T74" s="321"/>
      <c r="V74" s="1200"/>
      <c r="W74" s="1201"/>
      <c r="X74" s="1202"/>
    </row>
    <row r="75" spans="1:24">
      <c r="B75" s="13"/>
      <c r="C75" s="2"/>
      <c r="D75" s="727"/>
      <c r="E75" s="728"/>
      <c r="F75" s="732"/>
      <c r="G75" s="2"/>
      <c r="H75" s="375"/>
      <c r="I75" s="372"/>
      <c r="J75" s="373"/>
      <c r="K75" s="374"/>
      <c r="L75" s="337">
        <f t="shared" si="1"/>
        <v>0</v>
      </c>
      <c r="M75" s="377"/>
      <c r="N75" s="372"/>
      <c r="O75" s="373"/>
      <c r="P75" s="374"/>
      <c r="Q75" s="115">
        <f t="shared" si="0"/>
        <v>0</v>
      </c>
      <c r="R75" s="342"/>
      <c r="S75" s="49"/>
      <c r="T75" s="321"/>
      <c r="V75" s="1200"/>
      <c r="W75" s="1201"/>
      <c r="X75" s="1202"/>
    </row>
    <row r="76" spans="1:24">
      <c r="B76" s="13"/>
      <c r="C76" s="2"/>
      <c r="D76" s="727"/>
      <c r="E76" s="728"/>
      <c r="F76" s="732"/>
      <c r="G76" s="2"/>
      <c r="H76" s="375"/>
      <c r="I76" s="372"/>
      <c r="J76" s="373"/>
      <c r="K76" s="374"/>
      <c r="L76" s="337">
        <f t="shared" si="1"/>
        <v>0</v>
      </c>
      <c r="M76" s="377"/>
      <c r="N76" s="372"/>
      <c r="O76" s="373"/>
      <c r="P76" s="374"/>
      <c r="Q76" s="115">
        <f t="shared" si="0"/>
        <v>0</v>
      </c>
      <c r="R76" s="342"/>
      <c r="S76" s="49"/>
      <c r="T76" s="321"/>
      <c r="V76" s="1200"/>
      <c r="W76" s="1201"/>
      <c r="X76" s="1202"/>
    </row>
    <row r="77" spans="1:24">
      <c r="B77" s="13"/>
      <c r="C77" s="2"/>
      <c r="D77" s="727"/>
      <c r="E77" s="728"/>
      <c r="F77" s="732"/>
      <c r="G77" s="2"/>
      <c r="H77" s="375"/>
      <c r="I77" s="372"/>
      <c r="J77" s="373"/>
      <c r="K77" s="374"/>
      <c r="L77" s="337">
        <f t="shared" si="1"/>
        <v>0</v>
      </c>
      <c r="M77" s="377"/>
      <c r="N77" s="372"/>
      <c r="O77" s="373"/>
      <c r="P77" s="374"/>
      <c r="Q77" s="115">
        <f t="shared" si="0"/>
        <v>0</v>
      </c>
      <c r="R77" s="342"/>
      <c r="S77" s="49"/>
      <c r="T77" s="321"/>
      <c r="V77" s="1200"/>
      <c r="W77" s="1201"/>
      <c r="X77" s="1202"/>
    </row>
    <row r="78" spans="1:24">
      <c r="B78" s="13"/>
      <c r="C78" s="2"/>
      <c r="D78" s="727"/>
      <c r="E78" s="728"/>
      <c r="F78" s="732"/>
      <c r="G78" s="2"/>
      <c r="H78" s="375"/>
      <c r="I78" s="372"/>
      <c r="J78" s="373"/>
      <c r="K78" s="374"/>
      <c r="L78" s="337">
        <f t="shared" si="1"/>
        <v>0</v>
      </c>
      <c r="M78" s="377"/>
      <c r="N78" s="372"/>
      <c r="O78" s="373"/>
      <c r="P78" s="374"/>
      <c r="Q78" s="115">
        <f t="shared" si="0"/>
        <v>0</v>
      </c>
      <c r="R78" s="342"/>
      <c r="S78" s="49"/>
      <c r="T78" s="321"/>
      <c r="V78" s="1200"/>
      <c r="W78" s="1201"/>
      <c r="X78" s="1202"/>
    </row>
    <row r="79" spans="1:24">
      <c r="B79" s="13"/>
      <c r="C79" s="2"/>
      <c r="D79" s="727"/>
      <c r="E79" s="728"/>
      <c r="F79" s="732"/>
      <c r="G79" s="2"/>
      <c r="H79" s="375"/>
      <c r="I79" s="372"/>
      <c r="J79" s="373"/>
      <c r="K79" s="374"/>
      <c r="L79" s="337">
        <f t="shared" si="1"/>
        <v>0</v>
      </c>
      <c r="M79" s="377"/>
      <c r="N79" s="372"/>
      <c r="O79" s="373"/>
      <c r="P79" s="374"/>
      <c r="Q79" s="115">
        <f t="shared" si="0"/>
        <v>0</v>
      </c>
      <c r="R79" s="342"/>
      <c r="S79" s="49"/>
      <c r="T79" s="321"/>
      <c r="V79" s="1200"/>
      <c r="W79" s="1201"/>
      <c r="X79" s="1202"/>
    </row>
    <row r="80" spans="1:24">
      <c r="B80" s="13"/>
      <c r="C80" s="2"/>
      <c r="D80" s="727"/>
      <c r="E80" s="728"/>
      <c r="F80" s="732"/>
      <c r="G80" s="2"/>
      <c r="H80" s="375"/>
      <c r="I80" s="372"/>
      <c r="J80" s="373"/>
      <c r="K80" s="374"/>
      <c r="L80" s="337">
        <f t="shared" si="1"/>
        <v>0</v>
      </c>
      <c r="M80" s="377"/>
      <c r="N80" s="372"/>
      <c r="O80" s="373"/>
      <c r="P80" s="374"/>
      <c r="Q80" s="115">
        <f t="shared" si="0"/>
        <v>0</v>
      </c>
      <c r="R80" s="342"/>
      <c r="S80" s="49"/>
      <c r="T80" s="321"/>
      <c r="V80" s="1200"/>
      <c r="W80" s="1201"/>
      <c r="X80" s="1202"/>
    </row>
    <row r="81" spans="1:24">
      <c r="B81" s="13"/>
      <c r="C81" s="2"/>
      <c r="D81" s="729"/>
      <c r="E81" s="730"/>
      <c r="F81" s="733"/>
      <c r="G81" s="2"/>
      <c r="H81" s="375"/>
      <c r="I81" s="372"/>
      <c r="J81" s="373"/>
      <c r="K81" s="374"/>
      <c r="L81" s="337">
        <f t="shared" si="1"/>
        <v>0</v>
      </c>
      <c r="M81" s="377"/>
      <c r="N81" s="372"/>
      <c r="O81" s="373"/>
      <c r="P81" s="374"/>
      <c r="Q81" s="115">
        <f t="shared" si="0"/>
        <v>0</v>
      </c>
      <c r="R81" s="342"/>
      <c r="S81" s="49"/>
      <c r="T81" s="321"/>
      <c r="V81" s="1200"/>
      <c r="W81" s="1201"/>
      <c r="X81" s="1202"/>
    </row>
    <row r="82" spans="1:24">
      <c r="B82" s="13"/>
      <c r="C82" s="2"/>
      <c r="D82" s="2"/>
      <c r="E82" s="2"/>
      <c r="F82" s="2"/>
      <c r="G82" s="2"/>
      <c r="H82" s="49"/>
      <c r="I82" s="2"/>
      <c r="J82" s="49"/>
      <c r="L82" s="49"/>
      <c r="M82" s="335"/>
      <c r="N82" s="49"/>
      <c r="O82" s="49"/>
      <c r="P82" s="49"/>
      <c r="Q82" s="49"/>
      <c r="R82" s="49"/>
      <c r="S82" s="208" t="s">
        <v>99</v>
      </c>
      <c r="T82" s="321"/>
      <c r="V82" s="1231"/>
      <c r="W82" s="1232"/>
      <c r="X82" s="1174"/>
    </row>
    <row r="83" spans="1:24" ht="12" customHeight="1">
      <c r="B83" s="13"/>
      <c r="C83" s="2"/>
      <c r="D83" s="236" t="s">
        <v>182</v>
      </c>
      <c r="E83" s="2"/>
      <c r="F83" s="2"/>
      <c r="G83" s="2"/>
      <c r="H83" s="49"/>
      <c r="I83" s="2"/>
      <c r="K83" s="116" t="s">
        <v>196</v>
      </c>
      <c r="L83" s="357"/>
      <c r="M83" s="336"/>
      <c r="N83" s="1"/>
      <c r="O83" s="1"/>
      <c r="P83" s="116" t="s">
        <v>196</v>
      </c>
      <c r="Q83" s="358"/>
      <c r="R83" s="343"/>
      <c r="S83" s="208" t="s">
        <v>98</v>
      </c>
      <c r="T83" s="321"/>
      <c r="V83" s="1231"/>
      <c r="W83" s="1232"/>
      <c r="X83" s="1174"/>
    </row>
    <row r="84" spans="1:24" ht="12" customHeight="1">
      <c r="B84" s="13"/>
      <c r="C84" s="2"/>
      <c r="D84" s="236" t="s">
        <v>183</v>
      </c>
      <c r="E84" s="350"/>
      <c r="F84" s="2"/>
      <c r="G84" s="2"/>
      <c r="H84" s="49"/>
      <c r="I84" s="2"/>
      <c r="J84" s="49"/>
      <c r="K84" s="435" t="s">
        <v>26</v>
      </c>
      <c r="L84" s="334">
        <f>IF(L83=0,SUM(L70:L81),L83)</f>
        <v>0</v>
      </c>
      <c r="M84" s="336"/>
      <c r="N84" s="1"/>
      <c r="O84" s="1"/>
      <c r="P84" s="435" t="s">
        <v>26</v>
      </c>
      <c r="Q84" s="118">
        <f>IF(Q83=0,SUM(Q70:Q81),Q83)</f>
        <v>0</v>
      </c>
      <c r="R84" s="344"/>
      <c r="S84" s="118">
        <f>L84+Q84*'HAW-Kennwerte'!$R$30</f>
        <v>0</v>
      </c>
      <c r="T84" s="321"/>
      <c r="V84" s="1200"/>
      <c r="W84" s="1201"/>
      <c r="X84" s="1202"/>
    </row>
    <row r="85" spans="1:24" ht="10.5">
      <c r="B85" s="13"/>
      <c r="C85" s="2"/>
      <c r="D85" s="2"/>
      <c r="E85" s="2"/>
      <c r="F85" s="2"/>
      <c r="G85" s="2"/>
      <c r="H85" s="49"/>
      <c r="I85" s="2"/>
      <c r="J85" s="49"/>
      <c r="K85" s="242"/>
      <c r="L85" s="2"/>
      <c r="M85" s="336"/>
      <c r="N85" s="1"/>
      <c r="O85" s="1"/>
      <c r="P85" s="49"/>
      <c r="Q85" s="242"/>
      <c r="R85" s="242"/>
      <c r="S85" s="242"/>
      <c r="T85" s="321"/>
      <c r="V85" s="1231"/>
      <c r="W85" s="1232"/>
      <c r="X85" s="1174"/>
    </row>
    <row r="86" spans="1:24" ht="12" customHeight="1">
      <c r="B86" s="13"/>
      <c r="C86" s="2"/>
      <c r="D86" s="716" t="s">
        <v>194</v>
      </c>
      <c r="E86" s="479" t="s">
        <v>195</v>
      </c>
      <c r="F86" s="2"/>
      <c r="G86" s="2"/>
      <c r="I86" s="2"/>
      <c r="J86" s="208"/>
      <c r="K86" s="242"/>
      <c r="L86" s="204"/>
      <c r="M86" s="204"/>
      <c r="N86" s="203"/>
      <c r="O86" s="203"/>
      <c r="P86" s="791"/>
      <c r="Q86" s="202"/>
      <c r="R86" s="607"/>
      <c r="S86" s="607"/>
      <c r="T86" s="321"/>
      <c r="V86" s="1231"/>
      <c r="W86" s="1232"/>
      <c r="X86" s="1174"/>
    </row>
    <row r="87" spans="1:24" ht="12" customHeight="1">
      <c r="B87" s="13"/>
      <c r="C87" s="2"/>
      <c r="D87" s="2"/>
      <c r="E87" s="2"/>
      <c r="F87" s="2"/>
      <c r="G87" s="2"/>
      <c r="H87" s="49"/>
      <c r="I87" s="2"/>
      <c r="J87" s="202"/>
      <c r="K87" s="206">
        <f>IF($Q$87&gt;2023,$Q$87-6,"")</f>
        <v>2019</v>
      </c>
      <c r="L87" s="206">
        <f>IF($Q$87&gt;2023,$Q$87-5,"")</f>
        <v>2020</v>
      </c>
      <c r="M87" s="206">
        <f>IF($Q$87&gt;2023,$Q$87-4,"")</f>
        <v>2021</v>
      </c>
      <c r="N87" s="206">
        <f>IF($Q$87&gt;2023,$Q$87-3,"")</f>
        <v>2022</v>
      </c>
      <c r="O87" s="206">
        <f>IF($Q$87&gt;2023,$Q$87-2,"")</f>
        <v>2023</v>
      </c>
      <c r="P87" s="206">
        <f>IF($Q$87&gt;2023,$Q$87-1,"")</f>
        <v>2024</v>
      </c>
      <c r="Q87" s="711">
        <v>2025</v>
      </c>
      <c r="R87" s="50"/>
      <c r="S87" s="202"/>
      <c r="T87" s="321"/>
      <c r="V87" s="1231"/>
      <c r="W87" s="1232"/>
      <c r="X87" s="1174"/>
    </row>
    <row r="88" spans="1:24" ht="12" customHeight="1">
      <c r="B88" s="13"/>
      <c r="C88" s="2"/>
      <c r="D88" s="2"/>
      <c r="E88" s="2"/>
      <c r="F88" s="2"/>
      <c r="G88" s="2"/>
      <c r="H88" s="49"/>
      <c r="I88" s="2"/>
      <c r="J88" s="435" t="s">
        <v>245</v>
      </c>
      <c r="K88" s="792"/>
      <c r="L88" s="792"/>
      <c r="M88" s="792"/>
      <c r="N88" s="792"/>
      <c r="O88" s="792"/>
      <c r="P88" s="792"/>
      <c r="Q88" s="792"/>
      <c r="R88" s="50"/>
      <c r="S88" s="744">
        <f>IF(S89&gt;0,IF(S89&gt;1,0,S89),IFERROR(IF((K88*3+L88*4+M88*5+N88*6+O88*7+P88*8+Q88*9)/42&gt;1,1,(K88*3+L88*4+M88*5+N88*6+O88*7+P88*8+Q88*9)/42),""))</f>
        <v>0</v>
      </c>
      <c r="T88" s="321"/>
      <c r="V88" s="1233"/>
      <c r="W88" s="1234"/>
      <c r="X88" s="1235"/>
    </row>
    <row r="89" spans="1:24" ht="12" customHeight="1">
      <c r="B89" s="13"/>
      <c r="C89" s="2"/>
      <c r="D89" s="2"/>
      <c r="E89" s="2"/>
      <c r="F89" s="2"/>
      <c r="G89" s="2"/>
      <c r="H89" s="49"/>
      <c r="I89" s="2"/>
      <c r="J89" s="208"/>
      <c r="K89" s="743" t="s">
        <v>246</v>
      </c>
      <c r="L89" s="203"/>
      <c r="M89" s="203"/>
      <c r="N89" s="203"/>
      <c r="O89" s="203"/>
      <c r="P89" s="607"/>
      <c r="Q89" s="202"/>
      <c r="R89" s="50"/>
      <c r="S89" s="1188"/>
      <c r="T89" s="321"/>
    </row>
    <row r="90" spans="1:24">
      <c r="B90" s="211"/>
      <c r="C90" s="46"/>
      <c r="D90" s="46"/>
      <c r="E90" s="46"/>
      <c r="F90" s="46"/>
      <c r="G90" s="46"/>
      <c r="H90" s="46"/>
      <c r="I90" s="46"/>
      <c r="J90" s="119"/>
      <c r="K90" s="46"/>
      <c r="L90" s="119"/>
      <c r="M90" s="46"/>
      <c r="N90" s="119"/>
      <c r="O90" s="230"/>
      <c r="P90" s="119"/>
      <c r="Q90" s="119"/>
      <c r="R90" s="119"/>
      <c r="S90" s="119"/>
      <c r="T90" s="322"/>
    </row>
    <row r="91" spans="1:24">
      <c r="B91" s="12" t="s">
        <v>100</v>
      </c>
      <c r="H91" s="2"/>
      <c r="I91" s="2"/>
      <c r="J91" s="49"/>
      <c r="K91" s="2"/>
      <c r="L91" s="49"/>
      <c r="M91" s="2"/>
      <c r="N91" s="49"/>
      <c r="O91" s="49"/>
      <c r="P91" s="49"/>
      <c r="Q91" s="49"/>
      <c r="R91" s="49"/>
      <c r="S91" s="49"/>
      <c r="T91" s="121"/>
    </row>
    <row r="92" spans="1:24">
      <c r="A92" s="106"/>
      <c r="B92" s="209" t="s">
        <v>68</v>
      </c>
      <c r="C92" s="106"/>
      <c r="D92" s="106"/>
      <c r="E92" s="106"/>
      <c r="F92" s="106"/>
      <c r="G92" s="106"/>
      <c r="H92" s="106"/>
      <c r="I92" s="106"/>
      <c r="J92" s="107"/>
      <c r="K92" s="106"/>
      <c r="L92" s="107"/>
      <c r="M92" s="106"/>
      <c r="N92" s="107"/>
      <c r="O92" s="107"/>
      <c r="P92" s="107"/>
      <c r="Q92" s="107"/>
      <c r="R92" s="107"/>
      <c r="S92" s="107"/>
      <c r="T92" s="107"/>
    </row>
    <row r="93" spans="1:24">
      <c r="Q93" s="201"/>
      <c r="R93" s="201"/>
      <c r="S93" s="201" t="str">
        <f>HAW!B28</f>
        <v>Kennwertverfahren NRW für HAW; HIS-Institut für Hochschulentwicklung e.V. (24.04.2026)</v>
      </c>
      <c r="T93" s="201"/>
    </row>
    <row r="95" spans="1:24">
      <c r="B95" s="229"/>
      <c r="C95" s="202"/>
    </row>
    <row r="96" spans="1:24" ht="10.5">
      <c r="B96" s="794" t="str">
        <f>IF(B8=0,B7,CONCATENATE(B7,B8))</f>
        <v>Hochschule …</v>
      </c>
      <c r="C96" s="795"/>
      <c r="D96" s="795"/>
      <c r="E96" s="795"/>
      <c r="F96" s="795"/>
      <c r="G96" s="795"/>
      <c r="H96" s="795"/>
      <c r="I96" s="795"/>
      <c r="J96" s="796"/>
      <c r="K96" s="795"/>
      <c r="L96" s="796"/>
      <c r="M96" s="795"/>
      <c r="N96" s="796"/>
      <c r="O96" s="796"/>
      <c r="P96" s="796"/>
      <c r="Q96" s="796"/>
      <c r="R96" s="796"/>
      <c r="S96" s="796"/>
    </row>
    <row r="97" spans="2:19">
      <c r="B97" s="795" t="str">
        <f>B9</f>
        <v>[Fakultät/Fachbereich]</v>
      </c>
      <c r="C97" s="795"/>
      <c r="D97" s="795"/>
      <c r="E97" s="795"/>
      <c r="F97" s="795"/>
      <c r="G97" s="795"/>
      <c r="H97" s="795"/>
      <c r="I97" s="795"/>
      <c r="J97" s="796"/>
      <c r="K97" s="795"/>
      <c r="L97" s="796"/>
      <c r="M97" s="795"/>
      <c r="N97" s="796"/>
      <c r="O97" s="796"/>
      <c r="P97" s="796"/>
      <c r="Q97" s="796"/>
      <c r="R97" s="796"/>
      <c r="S97" s="796"/>
    </row>
    <row r="98" spans="2:19">
      <c r="B98" s="795" t="str">
        <f>B10</f>
        <v>[Department, Institut o.a.]</v>
      </c>
      <c r="C98" s="795"/>
      <c r="D98" s="795"/>
      <c r="E98" s="795"/>
      <c r="F98" s="795"/>
      <c r="G98" s="795"/>
      <c r="H98" s="795"/>
      <c r="I98" s="795"/>
      <c r="J98" s="796"/>
      <c r="K98" s="795"/>
      <c r="L98" s="796"/>
      <c r="M98" s="795"/>
      <c r="N98" s="796"/>
      <c r="O98" s="796"/>
      <c r="P98" s="796"/>
      <c r="Q98" s="796"/>
      <c r="R98" s="796"/>
      <c r="S98" s="796"/>
    </row>
    <row r="99" spans="2:19">
      <c r="B99" s="795" t="str">
        <f>CONCATENATE(B12,": ",B13)</f>
        <v>Lehr- und Forschungsbereich: Wirtschaftsingenieurwesen</v>
      </c>
      <c r="C99" s="795"/>
      <c r="D99" s="795"/>
      <c r="E99" s="795"/>
      <c r="F99" s="795"/>
      <c r="G99" s="795"/>
      <c r="H99" s="795"/>
      <c r="I99" s="795"/>
      <c r="J99" s="796"/>
      <c r="K99" s="795"/>
      <c r="L99" s="796"/>
      <c r="M99" s="795"/>
      <c r="N99" s="796"/>
      <c r="O99" s="796"/>
      <c r="P99" s="796"/>
      <c r="Q99" s="796"/>
      <c r="R99" s="796"/>
      <c r="S99" s="796"/>
    </row>
    <row r="100" spans="2:19">
      <c r="B100" s="202"/>
      <c r="C100" s="202"/>
      <c r="D100" s="202"/>
      <c r="E100" s="202"/>
      <c r="F100" s="202"/>
      <c r="G100" s="202"/>
      <c r="H100" s="202"/>
      <c r="I100" s="202"/>
      <c r="J100" s="607"/>
      <c r="K100" s="202"/>
      <c r="L100" s="607"/>
      <c r="M100" s="202"/>
      <c r="N100" s="607"/>
      <c r="O100" s="607"/>
      <c r="P100" s="607"/>
      <c r="Q100" s="607"/>
      <c r="R100" s="607"/>
      <c r="S100" s="607"/>
    </row>
    <row r="101" spans="2:19">
      <c r="B101" s="110" t="s">
        <v>295</v>
      </c>
      <c r="C101" s="206"/>
      <c r="D101" s="206"/>
      <c r="E101" s="206"/>
      <c r="F101" s="206"/>
      <c r="G101" s="206"/>
      <c r="H101" s="206"/>
      <c r="I101" s="206"/>
      <c r="J101" s="208"/>
      <c r="K101" s="206"/>
      <c r="L101" s="208"/>
      <c r="M101" s="206"/>
      <c r="N101" s="208"/>
      <c r="O101" s="208"/>
      <c r="P101" s="208"/>
      <c r="Q101" s="208"/>
      <c r="R101" s="208"/>
      <c r="S101" s="208"/>
    </row>
    <row r="102" spans="2:19">
      <c r="B102" s="909"/>
      <c r="C102" s="910"/>
      <c r="D102" s="910"/>
      <c r="E102" s="910"/>
      <c r="F102" s="910"/>
      <c r="G102" s="910"/>
      <c r="H102" s="910"/>
      <c r="I102" s="910"/>
      <c r="J102" s="544"/>
      <c r="K102" s="910"/>
      <c r="L102" s="544"/>
      <c r="M102" s="910"/>
      <c r="N102" s="544"/>
      <c r="O102" s="544"/>
      <c r="P102" s="544"/>
      <c r="Q102" s="544"/>
      <c r="R102" s="544"/>
      <c r="S102" s="1173"/>
    </row>
    <row r="103" spans="2:19" ht="10.5">
      <c r="B103" s="210"/>
      <c r="C103" s="206"/>
      <c r="D103" s="206"/>
      <c r="E103" s="206"/>
      <c r="F103" s="206"/>
      <c r="G103" s="207" t="s">
        <v>249</v>
      </c>
      <c r="H103" s="817">
        <f>SUM(H107:H126)</f>
        <v>0</v>
      </c>
      <c r="I103" s="208"/>
      <c r="J103" s="208"/>
      <c r="K103" s="206"/>
      <c r="L103" s="208"/>
      <c r="M103" s="206"/>
      <c r="N103" s="208"/>
      <c r="O103" s="1166" t="s">
        <v>269</v>
      </c>
      <c r="P103" s="818">
        <f>SUMPRODUCT(H107:H126,P107:P126)</f>
        <v>0</v>
      </c>
      <c r="Q103" s="208"/>
      <c r="R103" s="208"/>
      <c r="S103" s="1174"/>
    </row>
    <row r="104" spans="2:19">
      <c r="B104" s="210"/>
      <c r="C104" s="206"/>
      <c r="D104" s="206"/>
      <c r="E104" s="206"/>
      <c r="F104" s="206"/>
      <c r="G104" s="207"/>
      <c r="H104" s="798"/>
      <c r="I104" s="206"/>
      <c r="J104" s="208"/>
      <c r="K104" s="206"/>
      <c r="L104" s="208"/>
      <c r="M104" s="206"/>
      <c r="N104" s="207"/>
      <c r="O104" s="208"/>
      <c r="P104" s="819"/>
      <c r="Q104" s="208"/>
      <c r="R104" s="208"/>
      <c r="S104" s="1174"/>
    </row>
    <row r="105" spans="2:19">
      <c r="B105" s="210"/>
      <c r="C105" s="206"/>
      <c r="D105" s="206"/>
      <c r="E105" s="206"/>
      <c r="F105" s="206"/>
      <c r="G105" s="206"/>
      <c r="H105" s="206"/>
      <c r="I105" s="206"/>
      <c r="J105" s="208"/>
      <c r="K105" s="206"/>
      <c r="L105" s="208"/>
      <c r="M105" s="206"/>
      <c r="N105" s="208"/>
      <c r="O105" s="208"/>
      <c r="P105" s="208"/>
      <c r="Q105" s="208"/>
      <c r="R105" s="208"/>
      <c r="S105" s="1174"/>
    </row>
    <row r="106" spans="2:19" ht="10.5">
      <c r="B106" s="1175" t="s">
        <v>250</v>
      </c>
      <c r="C106" s="800" t="s">
        <v>251</v>
      </c>
      <c r="D106" s="238"/>
      <c r="E106" s="238"/>
      <c r="F106" s="238"/>
      <c r="G106" s="238"/>
      <c r="H106" s="239" t="s">
        <v>252</v>
      </c>
      <c r="I106" s="238" t="s">
        <v>253</v>
      </c>
      <c r="J106" s="238"/>
      <c r="K106" s="239"/>
      <c r="L106" s="238"/>
      <c r="M106" s="239"/>
      <c r="N106" s="208"/>
      <c r="O106" s="801" t="s">
        <v>257</v>
      </c>
      <c r="P106" s="832" t="s">
        <v>294</v>
      </c>
      <c r="Q106" s="239"/>
      <c r="R106" s="208"/>
      <c r="S106" s="1174"/>
    </row>
    <row r="107" spans="2:19">
      <c r="B107" s="210" t="str">
        <f>IF(COUNTA(C107)=1,1,"")</f>
        <v/>
      </c>
      <c r="C107" s="802"/>
      <c r="D107" s="803"/>
      <c r="E107" s="803"/>
      <c r="F107" s="803"/>
      <c r="G107" s="803"/>
      <c r="H107" s="804"/>
      <c r="I107" s="802"/>
      <c r="J107" s="803"/>
      <c r="K107" s="803"/>
      <c r="L107" s="803"/>
      <c r="M107" s="803"/>
      <c r="N107" s="803"/>
      <c r="O107" s="805"/>
      <c r="P107" s="806"/>
      <c r="Q107" s="820"/>
      <c r="R107" s="807">
        <f>SUM(O107:P107)</f>
        <v>0</v>
      </c>
      <c r="S107" s="1174"/>
    </row>
    <row r="108" spans="2:19">
      <c r="B108" s="210" t="str">
        <f>IF(COUNTA(C108)=1,MAX(B$107:B107)+1,"")</f>
        <v/>
      </c>
      <c r="C108" s="808"/>
      <c r="D108" s="809"/>
      <c r="E108" s="809"/>
      <c r="F108" s="809"/>
      <c r="G108" s="809"/>
      <c r="H108" s="810"/>
      <c r="I108" s="808"/>
      <c r="J108" s="809"/>
      <c r="K108" s="809"/>
      <c r="L108" s="809"/>
      <c r="M108" s="809"/>
      <c r="N108" s="809"/>
      <c r="O108" s="811"/>
      <c r="P108" s="812"/>
      <c r="Q108" s="821">
        <v>0</v>
      </c>
      <c r="R108" s="807">
        <f>SUM(O108:P108)</f>
        <v>0</v>
      </c>
      <c r="S108" s="1174"/>
    </row>
    <row r="109" spans="2:19">
      <c r="B109" s="210" t="str">
        <f>IF(COUNTA(C109)=1,MAX(B$107:B108)+1,"")</f>
        <v/>
      </c>
      <c r="C109" s="808"/>
      <c r="D109" s="809"/>
      <c r="E109" s="809"/>
      <c r="F109" s="809"/>
      <c r="G109" s="809"/>
      <c r="H109" s="810"/>
      <c r="I109" s="808"/>
      <c r="J109" s="809"/>
      <c r="K109" s="809"/>
      <c r="L109" s="809"/>
      <c r="M109" s="809"/>
      <c r="N109" s="809"/>
      <c r="O109" s="811"/>
      <c r="P109" s="812"/>
      <c r="Q109" s="821"/>
      <c r="R109" s="807">
        <f t="shared" ref="R109:R126" si="2">SUM(O109:P109)</f>
        <v>0</v>
      </c>
      <c r="S109" s="1174"/>
    </row>
    <row r="110" spans="2:19">
      <c r="B110" s="210" t="str">
        <f>IF(COUNTA(C110)=1,MAX(B$107:B109)+1,"")</f>
        <v/>
      </c>
      <c r="C110" s="808"/>
      <c r="D110" s="809"/>
      <c r="E110" s="809"/>
      <c r="F110" s="809"/>
      <c r="G110" s="809"/>
      <c r="H110" s="810"/>
      <c r="I110" s="808"/>
      <c r="J110" s="809"/>
      <c r="K110" s="809"/>
      <c r="L110" s="809"/>
      <c r="M110" s="809"/>
      <c r="N110" s="809"/>
      <c r="O110" s="811"/>
      <c r="P110" s="812"/>
      <c r="Q110" s="821"/>
      <c r="R110" s="807">
        <f t="shared" si="2"/>
        <v>0</v>
      </c>
      <c r="S110" s="1174"/>
    </row>
    <row r="111" spans="2:19">
      <c r="B111" s="210" t="str">
        <f>IF(COUNTA(C111)=1,MAX(B$107:B110)+1,"")</f>
        <v/>
      </c>
      <c r="C111" s="808"/>
      <c r="D111" s="809"/>
      <c r="E111" s="809"/>
      <c r="F111" s="809"/>
      <c r="G111" s="809"/>
      <c r="H111" s="810"/>
      <c r="I111" s="808"/>
      <c r="J111" s="809"/>
      <c r="K111" s="809"/>
      <c r="L111" s="809"/>
      <c r="M111" s="809"/>
      <c r="N111" s="809"/>
      <c r="O111" s="811"/>
      <c r="P111" s="812"/>
      <c r="Q111" s="821"/>
      <c r="R111" s="807">
        <f t="shared" si="2"/>
        <v>0</v>
      </c>
      <c r="S111" s="1174"/>
    </row>
    <row r="112" spans="2:19">
      <c r="B112" s="210" t="str">
        <f>IF(COUNTA(C112)=1,MAX(B$107:B111)+1,"")</f>
        <v/>
      </c>
      <c r="C112" s="808"/>
      <c r="D112" s="809"/>
      <c r="E112" s="809"/>
      <c r="F112" s="809"/>
      <c r="G112" s="809"/>
      <c r="H112" s="810"/>
      <c r="I112" s="808"/>
      <c r="J112" s="809"/>
      <c r="K112" s="809"/>
      <c r="L112" s="809"/>
      <c r="M112" s="809"/>
      <c r="N112" s="809"/>
      <c r="O112" s="811"/>
      <c r="P112" s="812"/>
      <c r="Q112" s="821"/>
      <c r="R112" s="807">
        <f t="shared" si="2"/>
        <v>0</v>
      </c>
      <c r="S112" s="1174"/>
    </row>
    <row r="113" spans="2:19">
      <c r="B113" s="210" t="str">
        <f>IF(COUNTA(C113)=1,MAX(B$107:B112)+1,"")</f>
        <v/>
      </c>
      <c r="C113" s="808"/>
      <c r="D113" s="809"/>
      <c r="E113" s="809"/>
      <c r="F113" s="809"/>
      <c r="G113" s="809"/>
      <c r="H113" s="810"/>
      <c r="I113" s="808"/>
      <c r="J113" s="809"/>
      <c r="K113" s="809"/>
      <c r="L113" s="809"/>
      <c r="M113" s="809"/>
      <c r="N113" s="809"/>
      <c r="O113" s="811"/>
      <c r="P113" s="812"/>
      <c r="Q113" s="821"/>
      <c r="R113" s="807">
        <f t="shared" si="2"/>
        <v>0</v>
      </c>
      <c r="S113" s="1174"/>
    </row>
    <row r="114" spans="2:19">
      <c r="B114" s="210" t="str">
        <f>IF(COUNTA(C114)=1,MAX(B$107:B113)+1,"")</f>
        <v/>
      </c>
      <c r="C114" s="808"/>
      <c r="D114" s="809"/>
      <c r="E114" s="809"/>
      <c r="F114" s="809"/>
      <c r="G114" s="809"/>
      <c r="H114" s="810"/>
      <c r="I114" s="808"/>
      <c r="J114" s="809"/>
      <c r="K114" s="809"/>
      <c r="L114" s="809"/>
      <c r="M114" s="809"/>
      <c r="N114" s="809"/>
      <c r="O114" s="811"/>
      <c r="P114" s="812"/>
      <c r="Q114" s="821"/>
      <c r="R114" s="807">
        <f t="shared" si="2"/>
        <v>0</v>
      </c>
      <c r="S114" s="1174"/>
    </row>
    <row r="115" spans="2:19">
      <c r="B115" s="210" t="str">
        <f>IF(COUNTA(C115)=1,MAX(B$107:B114)+1,"")</f>
        <v/>
      </c>
      <c r="C115" s="808"/>
      <c r="D115" s="809"/>
      <c r="E115" s="809"/>
      <c r="F115" s="809"/>
      <c r="G115" s="809"/>
      <c r="H115" s="810"/>
      <c r="I115" s="808"/>
      <c r="J115" s="809"/>
      <c r="K115" s="809"/>
      <c r="L115" s="809"/>
      <c r="M115" s="809"/>
      <c r="N115" s="809"/>
      <c r="O115" s="811"/>
      <c r="P115" s="812"/>
      <c r="Q115" s="821"/>
      <c r="R115" s="807">
        <f t="shared" si="2"/>
        <v>0</v>
      </c>
      <c r="S115" s="1174"/>
    </row>
    <row r="116" spans="2:19">
      <c r="B116" s="210" t="str">
        <f>IF(COUNTA(C116)=1,MAX(B$107:B115)+1,"")</f>
        <v/>
      </c>
      <c r="C116" s="808"/>
      <c r="D116" s="809"/>
      <c r="E116" s="809"/>
      <c r="F116" s="809"/>
      <c r="G116" s="809"/>
      <c r="H116" s="810"/>
      <c r="I116" s="808"/>
      <c r="J116" s="809"/>
      <c r="K116" s="809"/>
      <c r="L116" s="809"/>
      <c r="M116" s="809"/>
      <c r="N116" s="809"/>
      <c r="O116" s="811"/>
      <c r="P116" s="812"/>
      <c r="Q116" s="821"/>
      <c r="R116" s="807">
        <f t="shared" si="2"/>
        <v>0</v>
      </c>
      <c r="S116" s="1174"/>
    </row>
    <row r="117" spans="2:19">
      <c r="B117" s="210" t="str">
        <f>IF(COUNTA(C117)=1,MAX(B$107:B116)+1,"")</f>
        <v/>
      </c>
      <c r="C117" s="808"/>
      <c r="D117" s="809"/>
      <c r="E117" s="809"/>
      <c r="F117" s="809"/>
      <c r="G117" s="809"/>
      <c r="H117" s="810"/>
      <c r="I117" s="808"/>
      <c r="J117" s="809"/>
      <c r="K117" s="809"/>
      <c r="L117" s="809"/>
      <c r="M117" s="809"/>
      <c r="N117" s="809"/>
      <c r="O117" s="811"/>
      <c r="P117" s="812"/>
      <c r="Q117" s="821"/>
      <c r="R117" s="807">
        <f t="shared" si="2"/>
        <v>0</v>
      </c>
      <c r="S117" s="1174"/>
    </row>
    <row r="118" spans="2:19">
      <c r="B118" s="210" t="str">
        <f>IF(COUNTA(C118)=1,MAX(B$107:B117)+1,"")</f>
        <v/>
      </c>
      <c r="C118" s="808"/>
      <c r="D118" s="809"/>
      <c r="E118" s="809"/>
      <c r="F118" s="809"/>
      <c r="G118" s="809"/>
      <c r="H118" s="810"/>
      <c r="I118" s="808"/>
      <c r="J118" s="809"/>
      <c r="K118" s="809"/>
      <c r="L118" s="809"/>
      <c r="M118" s="809"/>
      <c r="N118" s="809"/>
      <c r="O118" s="811"/>
      <c r="P118" s="812"/>
      <c r="Q118" s="821"/>
      <c r="R118" s="807">
        <f t="shared" si="2"/>
        <v>0</v>
      </c>
      <c r="S118" s="1174"/>
    </row>
    <row r="119" spans="2:19">
      <c r="B119" s="210" t="str">
        <f>IF(COUNTA(C119)=1,MAX(B$107:B118)+1,"")</f>
        <v/>
      </c>
      <c r="C119" s="808"/>
      <c r="D119" s="809"/>
      <c r="E119" s="809"/>
      <c r="F119" s="809"/>
      <c r="G119" s="809"/>
      <c r="H119" s="810"/>
      <c r="I119" s="808"/>
      <c r="J119" s="809"/>
      <c r="K119" s="809"/>
      <c r="L119" s="809"/>
      <c r="M119" s="809"/>
      <c r="N119" s="809"/>
      <c r="O119" s="811"/>
      <c r="P119" s="812"/>
      <c r="Q119" s="821"/>
      <c r="R119" s="807">
        <f t="shared" si="2"/>
        <v>0</v>
      </c>
      <c r="S119" s="1174"/>
    </row>
    <row r="120" spans="2:19">
      <c r="B120" s="210" t="str">
        <f>IF(COUNTA(C120)=1,MAX(B$107:B119)+1,"")</f>
        <v/>
      </c>
      <c r="C120" s="808"/>
      <c r="D120" s="809"/>
      <c r="E120" s="809"/>
      <c r="F120" s="809"/>
      <c r="G120" s="809"/>
      <c r="H120" s="810"/>
      <c r="I120" s="808"/>
      <c r="J120" s="809"/>
      <c r="K120" s="809"/>
      <c r="L120" s="809"/>
      <c r="M120" s="809"/>
      <c r="N120" s="809"/>
      <c r="O120" s="811"/>
      <c r="P120" s="812"/>
      <c r="Q120" s="821"/>
      <c r="R120" s="807">
        <f t="shared" si="2"/>
        <v>0</v>
      </c>
      <c r="S120" s="1174"/>
    </row>
    <row r="121" spans="2:19">
      <c r="B121" s="210" t="str">
        <f>IF(COUNTA(C121)=1,MAX(B$107:B120)+1,"")</f>
        <v/>
      </c>
      <c r="C121" s="808"/>
      <c r="D121" s="809"/>
      <c r="E121" s="809"/>
      <c r="F121" s="809"/>
      <c r="G121" s="809"/>
      <c r="H121" s="810"/>
      <c r="I121" s="808"/>
      <c r="J121" s="809"/>
      <c r="K121" s="809"/>
      <c r="L121" s="809"/>
      <c r="M121" s="809"/>
      <c r="N121" s="809"/>
      <c r="O121" s="811"/>
      <c r="P121" s="812"/>
      <c r="Q121" s="821"/>
      <c r="R121" s="807">
        <f t="shared" si="2"/>
        <v>0</v>
      </c>
      <c r="S121" s="1174"/>
    </row>
    <row r="122" spans="2:19">
      <c r="B122" s="210" t="str">
        <f>IF(COUNTA(C122)=1,MAX(B$107:B121)+1,"")</f>
        <v/>
      </c>
      <c r="C122" s="808"/>
      <c r="D122" s="809"/>
      <c r="E122" s="809"/>
      <c r="F122" s="809"/>
      <c r="G122" s="809"/>
      <c r="H122" s="810"/>
      <c r="I122" s="808"/>
      <c r="J122" s="809"/>
      <c r="K122" s="809"/>
      <c r="L122" s="809"/>
      <c r="M122" s="809"/>
      <c r="N122" s="809"/>
      <c r="O122" s="811"/>
      <c r="P122" s="812"/>
      <c r="Q122" s="821"/>
      <c r="R122" s="807">
        <f t="shared" si="2"/>
        <v>0</v>
      </c>
      <c r="S122" s="1174"/>
    </row>
    <row r="123" spans="2:19">
      <c r="B123" s="210" t="str">
        <f>IF(COUNTA(C123)=1,MAX(B$107:B122)+1,"")</f>
        <v/>
      </c>
      <c r="C123" s="808"/>
      <c r="D123" s="809"/>
      <c r="E123" s="809"/>
      <c r="F123" s="809"/>
      <c r="G123" s="809"/>
      <c r="H123" s="810"/>
      <c r="I123" s="808"/>
      <c r="J123" s="809"/>
      <c r="K123" s="809"/>
      <c r="L123" s="809"/>
      <c r="M123" s="809"/>
      <c r="N123" s="809"/>
      <c r="O123" s="811"/>
      <c r="P123" s="812"/>
      <c r="Q123" s="821"/>
      <c r="R123" s="807">
        <f t="shared" si="2"/>
        <v>0</v>
      </c>
      <c r="S123" s="1174"/>
    </row>
    <row r="124" spans="2:19">
      <c r="B124" s="210" t="str">
        <f>IF(COUNTA(C124)=1,MAX(B$107:B123)+1,"")</f>
        <v/>
      </c>
      <c r="C124" s="808"/>
      <c r="D124" s="809"/>
      <c r="E124" s="809"/>
      <c r="F124" s="809"/>
      <c r="G124" s="809"/>
      <c r="H124" s="810"/>
      <c r="I124" s="808"/>
      <c r="J124" s="809"/>
      <c r="K124" s="809"/>
      <c r="L124" s="809"/>
      <c r="M124" s="809"/>
      <c r="N124" s="809"/>
      <c r="O124" s="811"/>
      <c r="P124" s="812"/>
      <c r="Q124" s="821"/>
      <c r="R124" s="807">
        <f t="shared" si="2"/>
        <v>0</v>
      </c>
      <c r="S124" s="1174"/>
    </row>
    <row r="125" spans="2:19">
      <c r="B125" s="210" t="str">
        <f>IF(COUNTA(C125)=1,MAX(B$107:B124)+1,"")</f>
        <v/>
      </c>
      <c r="C125" s="808"/>
      <c r="D125" s="809"/>
      <c r="E125" s="809"/>
      <c r="F125" s="809"/>
      <c r="G125" s="809"/>
      <c r="H125" s="810"/>
      <c r="I125" s="808"/>
      <c r="J125" s="809"/>
      <c r="K125" s="809"/>
      <c r="L125" s="809"/>
      <c r="M125" s="809"/>
      <c r="N125" s="809"/>
      <c r="O125" s="811"/>
      <c r="P125" s="812"/>
      <c r="Q125" s="821"/>
      <c r="R125" s="807">
        <f t="shared" si="2"/>
        <v>0</v>
      </c>
      <c r="S125" s="1174"/>
    </row>
    <row r="126" spans="2:19">
      <c r="B126" s="210" t="str">
        <f>IF(COUNTA(C126)=1,MAX(B$107:B125)+1,"")</f>
        <v/>
      </c>
      <c r="C126" s="808"/>
      <c r="D126" s="809"/>
      <c r="E126" s="809"/>
      <c r="F126" s="809"/>
      <c r="G126" s="809"/>
      <c r="H126" s="810"/>
      <c r="I126" s="808"/>
      <c r="J126" s="809"/>
      <c r="K126" s="809"/>
      <c r="L126" s="809"/>
      <c r="M126" s="809"/>
      <c r="N126" s="809"/>
      <c r="O126" s="811"/>
      <c r="P126" s="812"/>
      <c r="Q126" s="821"/>
      <c r="R126" s="807">
        <f t="shared" si="2"/>
        <v>0</v>
      </c>
      <c r="S126" s="1174"/>
    </row>
  </sheetData>
  <sheetProtection algorithmName="SHA-512" hashValue="Uekjkir1dYYiFpFtwkxRYu7clvvYeaHgEuWMQjLgNESOdm+175IFQbcTpsKPgvbumyMr0Jke98YpZphf6Sm6ew==" saltValue="Um99g1wjLj0YE4od4rcVEA==" spinCount="100000" sheet="1" selectLockedCells="1"/>
  <mergeCells count="9">
    <mergeCell ref="D27:E27"/>
    <mergeCell ref="D28:E28"/>
    <mergeCell ref="J30:O30"/>
    <mergeCell ref="Q1:Q2"/>
    <mergeCell ref="L1:L2"/>
    <mergeCell ref="M1:M2"/>
    <mergeCell ref="N1:N2"/>
    <mergeCell ref="O1:O2"/>
    <mergeCell ref="P1:P2"/>
  </mergeCells>
  <conditionalFormatting sqref="E21">
    <cfRule type="cellIs" dxfId="65" priority="7" stopIfTrue="1" operator="equal">
      <formula>1</formula>
    </cfRule>
  </conditionalFormatting>
  <conditionalFormatting sqref="E86">
    <cfRule type="cellIs" dxfId="64" priority="12" stopIfTrue="1" operator="equal">
      <formula>1</formula>
    </cfRule>
  </conditionalFormatting>
  <conditionalFormatting sqref="N6">
    <cfRule type="cellIs" dxfId="63" priority="6" operator="equal">
      <formula>1</formula>
    </cfRule>
  </conditionalFormatting>
  <conditionalFormatting sqref="N18">
    <cfRule type="cellIs" dxfId="62" priority="5" operator="equal">
      <formula>1</formula>
    </cfRule>
  </conditionalFormatting>
  <conditionalFormatting sqref="N22:N23">
    <cfRule type="cellIs" dxfId="61" priority="20" stopIfTrue="1" operator="equal">
      <formula>0</formula>
    </cfRule>
  </conditionalFormatting>
  <conditionalFormatting sqref="O10">
    <cfRule type="cellIs" dxfId="60" priority="1" operator="equal">
      <formula>1</formula>
    </cfRule>
  </conditionalFormatting>
  <conditionalFormatting sqref="O18 N19:O20">
    <cfRule type="cellIs" dxfId="59" priority="16" stopIfTrue="1" operator="equal">
      <formula>0</formula>
    </cfRule>
  </conditionalFormatting>
  <conditionalFormatting sqref="R107:R126">
    <cfRule type="cellIs" dxfId="58" priority="2" operator="notEqual">
      <formula>1</formula>
    </cfRule>
    <cfRule type="cellIs" dxfId="57" priority="3" operator="equal">
      <formula>1</formula>
    </cfRule>
  </conditionalFormatting>
  <conditionalFormatting sqref="S65">
    <cfRule type="cellIs" dxfId="56" priority="18" operator="equal">
      <formula>1</formula>
    </cfRule>
    <cfRule type="cellIs" dxfId="55" priority="19" operator="notEqual">
      <formula>1</formula>
    </cfRule>
  </conditionalFormatting>
  <dataValidations count="5">
    <dataValidation type="decimal" errorStyle="information" operator="lessThanOrEqual" allowBlank="1" showInputMessage="1" showErrorMessage="1" error="Bitte nur Werte bis max. 15% verwenden." prompt="Bitte nur Werte bis max. 15% verwenden." sqref="E84" xr:uid="{681E2BFE-B73C-48C4-962B-E6E5CEC7A7D1}">
      <formula1>0.15</formula1>
    </dataValidation>
    <dataValidation type="list" allowBlank="1" showInputMessage="1" showErrorMessage="1" sqref="Q25:Q29" xr:uid="{80BAAA62-7FB4-4134-B064-E125F1D3E347}">
      <formula1>$H$33:$O$33</formula1>
    </dataValidation>
    <dataValidation type="list" allowBlank="1" sqref="E86 E21" xr:uid="{B3D4DDF0-D7ED-4AE0-8661-113D5D2C180E}">
      <formula1>"ja, nein"</formula1>
    </dataValidation>
    <dataValidation allowBlank="1" showInputMessage="1" showErrorMessage="1" prompt="Für die weitere Berechnung werden nur Werte bis max. 100% übernommen." sqref="S89" xr:uid="{EF8A068B-F493-4AD3-B247-F361474A94D5}"/>
    <dataValidation type="list" allowBlank="1" showInputMessage="1" showErrorMessage="1" sqref="O107:P126" xr:uid="{D687B08D-C5CF-402D-AA7F-382010B0086B}">
      <formula1>"0%,50%,100%"</formula1>
    </dataValidation>
  </dataValidations>
  <pageMargins left="0.59055118110236227" right="0.59055118110236227" top="0.78740157480314965" bottom="0.59055118110236227" header="0.51181102362204722" footer="0.27559055118110237"/>
  <pageSetup paperSize="9" scale="79" orientation="portrait" r:id="rId1"/>
  <headerFooter alignWithMargins="0">
    <oddFooter>&amp;C&amp;8Seite &amp;P von &amp;N</oddFooter>
  </headerFooter>
  <rowBreaks count="1" manualBreakCount="1">
    <brk id="51" max="1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B6DC7-0E37-442F-830A-EFDF23C8FFE5}">
  <sheetPr codeName="Tabelle13">
    <tabColor theme="6" tint="-0.249977111117893"/>
  </sheetPr>
  <dimension ref="A1:X156"/>
  <sheetViews>
    <sheetView showGridLines="0" showZeros="0" zoomScale="115" zoomScaleNormal="115" zoomScaleSheetLayoutView="115" workbookViewId="0">
      <selection activeCell="B9" sqref="B9"/>
    </sheetView>
  </sheetViews>
  <sheetFormatPr baseColWidth="10" defaultColWidth="11.453125" defaultRowHeight="10"/>
  <cols>
    <col min="1" max="1" width="0.54296875" style="1" customWidth="1"/>
    <col min="2" max="2" width="9.54296875" style="1" customWidth="1"/>
    <col min="3" max="3" width="6.54296875" style="1" customWidth="1"/>
    <col min="4" max="4" width="5.54296875" style="1" customWidth="1"/>
    <col min="5" max="5" width="5.453125" style="1" customWidth="1"/>
    <col min="6" max="6" width="1.81640625" style="1" customWidth="1"/>
    <col min="7" max="7" width="1.453125" style="1" customWidth="1"/>
    <col min="8" max="9" width="7.453125" style="1" customWidth="1"/>
    <col min="10" max="10" width="7.453125" style="42" customWidth="1"/>
    <col min="11" max="11" width="7.453125" style="1" customWidth="1"/>
    <col min="12" max="12" width="7.453125" style="42" customWidth="1"/>
    <col min="13" max="13" width="7.453125" style="1" customWidth="1"/>
    <col min="14" max="15" width="7.453125" style="42" customWidth="1"/>
    <col min="16" max="16" width="8.54296875" style="42" customWidth="1"/>
    <col min="17" max="17" width="7.453125" style="42" customWidth="1"/>
    <col min="18" max="18" width="0.81640625" style="42" customWidth="1"/>
    <col min="19" max="19" width="7.453125" style="42" customWidth="1"/>
    <col min="20" max="20" width="1.1796875" style="1" customWidth="1"/>
    <col min="21" max="21" width="7.1796875" style="202" customWidth="1"/>
    <col min="22" max="24" width="7.26953125" style="202" customWidth="1"/>
    <col min="25" max="16384" width="11.453125" style="1"/>
  </cols>
  <sheetData>
    <row r="1" spans="1:24" ht="13" customHeight="1">
      <c r="A1" s="7"/>
      <c r="B1" s="8"/>
      <c r="C1" s="8"/>
      <c r="D1" s="8"/>
      <c r="E1" s="8"/>
      <c r="F1" s="9"/>
      <c r="H1" s="214"/>
      <c r="I1" s="216"/>
      <c r="J1" s="108"/>
      <c r="K1" s="9"/>
      <c r="L1" s="1364" t="s">
        <v>57</v>
      </c>
      <c r="M1" s="1364" t="s">
        <v>108</v>
      </c>
      <c r="N1" s="1364" t="s">
        <v>126</v>
      </c>
      <c r="O1" s="1364" t="s">
        <v>58</v>
      </c>
      <c r="P1" s="1356" t="s">
        <v>11</v>
      </c>
      <c r="Q1" s="1358" t="s">
        <v>113</v>
      </c>
      <c r="R1" s="341"/>
      <c r="S1" s="332"/>
    </row>
    <row r="2" spans="1:24" ht="38.15" customHeight="1">
      <c r="A2" s="13"/>
      <c r="B2" s="2" t="s">
        <v>24</v>
      </c>
      <c r="C2" s="96"/>
      <c r="D2" s="96"/>
      <c r="E2" s="96"/>
      <c r="F2" s="97"/>
      <c r="H2" s="210" t="s">
        <v>111</v>
      </c>
      <c r="I2" s="3"/>
      <c r="J2" s="49"/>
      <c r="K2" s="14"/>
      <c r="L2" s="1365"/>
      <c r="M2" s="1365"/>
      <c r="N2" s="1365"/>
      <c r="O2" s="1365"/>
      <c r="P2" s="1357"/>
      <c r="Q2" s="1359"/>
      <c r="R2" s="341"/>
      <c r="S2" s="332"/>
      <c r="V2" s="12" t="s">
        <v>863</v>
      </c>
    </row>
    <row r="3" spans="1:24" ht="3" customHeight="1">
      <c r="A3" s="98"/>
      <c r="B3" s="99"/>
      <c r="C3" s="99"/>
      <c r="D3" s="99"/>
      <c r="E3" s="99"/>
      <c r="F3" s="100"/>
      <c r="H3" s="215"/>
      <c r="I3" s="217"/>
      <c r="J3" s="218"/>
      <c r="K3" s="100"/>
      <c r="L3" s="4"/>
      <c r="M3" s="4"/>
      <c r="N3" s="4"/>
      <c r="O3" s="4"/>
      <c r="P3" s="5"/>
      <c r="Q3" s="6"/>
      <c r="R3" s="333"/>
      <c r="S3" s="333"/>
    </row>
    <row r="4" spans="1:24">
      <c r="A4" s="2"/>
      <c r="B4" s="2"/>
      <c r="C4" s="2"/>
      <c r="D4" s="2"/>
      <c r="E4" s="2"/>
      <c r="F4" s="2"/>
      <c r="H4" s="3"/>
      <c r="I4" s="3"/>
      <c r="K4" s="10"/>
      <c r="L4" s="11"/>
      <c r="M4" s="3"/>
      <c r="N4" s="11"/>
      <c r="O4" s="11"/>
      <c r="P4" s="11"/>
      <c r="Q4" s="12"/>
      <c r="R4" s="12"/>
      <c r="S4" s="12"/>
    </row>
    <row r="5" spans="1:24" ht="11.25" customHeight="1">
      <c r="A5" s="7"/>
      <c r="B5" s="8"/>
      <c r="C5" s="8"/>
      <c r="D5" s="8"/>
      <c r="E5" s="8"/>
      <c r="F5" s="9"/>
      <c r="H5" s="15" t="s">
        <v>87</v>
      </c>
      <c r="I5" s="3"/>
      <c r="K5" s="10"/>
      <c r="L5" s="11"/>
      <c r="M5" s="3"/>
      <c r="N5" s="11"/>
      <c r="O5" s="11"/>
      <c r="P5" s="11"/>
      <c r="Q5" s="12"/>
      <c r="R5" s="12"/>
      <c r="S5" s="12"/>
      <c r="V5" s="1225"/>
      <c r="W5" s="1226"/>
      <c r="X5" s="1227"/>
    </row>
    <row r="6" spans="1:24" s="19" customFormat="1" ht="11.5" customHeight="1">
      <c r="A6" s="16"/>
      <c r="B6" s="24"/>
      <c r="C6" s="17"/>
      <c r="D6" s="17"/>
      <c r="E6" s="17"/>
      <c r="F6" s="18"/>
      <c r="H6" s="203" t="s">
        <v>0</v>
      </c>
      <c r="I6" s="17"/>
      <c r="L6" s="339">
        <f>IF(E15&gt;0,E15,0)</f>
        <v>0</v>
      </c>
      <c r="M6" s="20">
        <f>IF(E15&gt;0,'HAW-Kennwerte'!C21,0)</f>
        <v>0</v>
      </c>
      <c r="N6" s="205">
        <f>IF(L6&gt;0,IF(E21="ja",'HAW-Kennwerte'!D21,1),0)</f>
        <v>0</v>
      </c>
      <c r="O6" s="22"/>
      <c r="P6" s="23">
        <f>L6*M6*N6</f>
        <v>0</v>
      </c>
      <c r="Q6" s="328">
        <f>IF(P6&gt;0,'HAW-Kennwerte'!Z21,0)</f>
        <v>0</v>
      </c>
      <c r="R6" s="328"/>
      <c r="S6" s="12"/>
      <c r="T6" s="1"/>
      <c r="U6" s="203"/>
      <c r="V6" s="1200"/>
      <c r="W6" s="1201"/>
      <c r="X6" s="1202"/>
    </row>
    <row r="7" spans="1:24" s="19" customFormat="1" ht="11.5" customHeight="1">
      <c r="A7" s="16"/>
      <c r="B7" s="928" t="str">
        <f>HAW!B4</f>
        <v>Hochschule …</v>
      </c>
      <c r="C7" s="928"/>
      <c r="D7" s="928"/>
      <c r="E7" s="928"/>
      <c r="F7" s="18"/>
      <c r="H7" s="203" t="s">
        <v>102</v>
      </c>
      <c r="I7" s="17"/>
      <c r="L7" s="340">
        <f>IF(E15-E16&lt;0,0,IF(E23&gt;E16,0,E16))</f>
        <v>0</v>
      </c>
      <c r="M7" s="895">
        <f>IF(L7&gt;0,'HAW-Kennwerte'!I21,0)</f>
        <v>0</v>
      </c>
      <c r="N7" s="205"/>
      <c r="O7" s="896">
        <f>IFERROR(IF(L7&gt;0,(E23*(E24*'HAW-Kennwerte'!K21+E25*'HAW-Kennwerte'!M21))/(E16*M7),0),"")</f>
        <v>0</v>
      </c>
      <c r="P7" s="27">
        <f>IFERROR(L7*M7*O7,"")</f>
        <v>0</v>
      </c>
      <c r="Q7" s="329">
        <f>IF(P7&gt;0,'HAW-Kennwerte'!AA21,0)</f>
        <v>0</v>
      </c>
      <c r="R7" s="329"/>
      <c r="S7" s="12"/>
      <c r="T7" s="1"/>
      <c r="U7" s="203"/>
      <c r="V7" s="1200"/>
      <c r="W7" s="1201"/>
      <c r="X7" s="1202"/>
    </row>
    <row r="8" spans="1:24" s="19" customFormat="1" ht="11.5" customHeight="1">
      <c r="A8" s="16"/>
      <c r="B8" s="473">
        <f>HAW!B5</f>
        <v>0</v>
      </c>
      <c r="F8" s="18"/>
      <c r="H8" s="203" t="s">
        <v>86</v>
      </c>
      <c r="I8" s="17"/>
      <c r="L8" s="29"/>
      <c r="M8" s="20"/>
      <c r="N8" s="21"/>
      <c r="O8" s="22"/>
      <c r="P8" s="52"/>
      <c r="Q8" s="329"/>
      <c r="R8" s="329"/>
      <c r="S8" s="12"/>
      <c r="T8" s="1"/>
      <c r="U8" s="203"/>
      <c r="V8" s="1228"/>
      <c r="W8" s="1229"/>
      <c r="X8" s="1230"/>
    </row>
    <row r="9" spans="1:24" s="19" customFormat="1" ht="11.5" customHeight="1">
      <c r="A9" s="16"/>
      <c r="B9" s="382" t="s">
        <v>93</v>
      </c>
      <c r="C9" s="383"/>
      <c r="D9" s="383"/>
      <c r="E9" s="383"/>
      <c r="F9" s="18"/>
      <c r="H9" s="203" t="s">
        <v>159</v>
      </c>
      <c r="I9" s="17"/>
      <c r="L9" s="339"/>
      <c r="M9" s="30"/>
      <c r="N9" s="21"/>
      <c r="O9" s="22"/>
      <c r="P9" s="52"/>
      <c r="Q9" s="329"/>
      <c r="R9" s="329"/>
      <c r="S9" s="12"/>
      <c r="T9" s="1"/>
      <c r="U9" s="203"/>
      <c r="V9" s="1228"/>
      <c r="W9" s="1229"/>
      <c r="X9" s="1230"/>
    </row>
    <row r="10" spans="1:24" s="19" customFormat="1" ht="11.5" customHeight="1">
      <c r="A10" s="16"/>
      <c r="B10" s="382" t="s">
        <v>92</v>
      </c>
      <c r="C10" s="384"/>
      <c r="D10" s="384"/>
      <c r="E10" s="384"/>
      <c r="F10" s="18"/>
      <c r="H10" s="204" t="s">
        <v>19</v>
      </c>
      <c r="I10" s="17"/>
      <c r="L10" s="765">
        <f>IF(SUM($E$17:$E$18)&gt;0,$S$84,0)</f>
        <v>0</v>
      </c>
      <c r="M10" s="30">
        <f>IF($L$10&gt;0,'HAW-Kennwerte'!R21,0)</f>
        <v>0</v>
      </c>
      <c r="N10" s="205">
        <f>IF(L10&gt;0,E19,0)</f>
        <v>0</v>
      </c>
      <c r="O10" s="26">
        <f>IF(E84&gt;0.15,0,IFERROR((M10+M10*0.7*E84*0.4)/M10,0))</f>
        <v>0</v>
      </c>
      <c r="P10" s="27">
        <f>L10*N10*(M10*O10+IF(E86="ja",'HAW-Kennwerte'!$R$29,0))</f>
        <v>0</v>
      </c>
      <c r="Q10" s="329"/>
      <c r="R10" s="329"/>
      <c r="S10" s="12"/>
      <c r="T10" s="1"/>
      <c r="U10" s="203"/>
      <c r="V10" s="1200"/>
      <c r="W10" s="1201"/>
      <c r="X10" s="1202"/>
    </row>
    <row r="11" spans="1:24" s="19" customFormat="1" ht="11.5" customHeight="1">
      <c r="A11" s="16"/>
      <c r="B11" s="56"/>
      <c r="C11" s="56"/>
      <c r="D11" s="56"/>
      <c r="E11" s="56"/>
      <c r="F11" s="18"/>
      <c r="H11" s="204" t="s">
        <v>91</v>
      </c>
      <c r="I11" s="17"/>
      <c r="L11" s="765">
        <f>IF(SUM($E$17:$E$18)&gt;0,SUM($E$17:$E$18),0)</f>
        <v>0</v>
      </c>
      <c r="M11" s="30">
        <f>IF($L$11&gt;0,'HAW-Kennwerte'!S21,0)</f>
        <v>0</v>
      </c>
      <c r="N11" s="205">
        <f>IF(L11&gt;0,E19,0)</f>
        <v>0</v>
      </c>
      <c r="O11" s="22"/>
      <c r="P11" s="31">
        <f>L11*M11*N11</f>
        <v>0</v>
      </c>
      <c r="Q11" s="329"/>
      <c r="R11" s="329"/>
      <c r="S11" s="329"/>
      <c r="U11" s="203"/>
      <c r="V11" s="1200"/>
      <c r="W11" s="1201"/>
      <c r="X11" s="1202"/>
    </row>
    <row r="12" spans="1:24" s="19" customFormat="1" ht="11.5" customHeight="1">
      <c r="A12" s="16"/>
      <c r="B12" s="24" t="s">
        <v>8</v>
      </c>
      <c r="F12" s="18"/>
      <c r="H12" s="204" t="s">
        <v>109</v>
      </c>
      <c r="I12" s="17"/>
      <c r="L12" s="766">
        <f>IF($E$17&gt;0,$E$17,0)</f>
        <v>0</v>
      </c>
      <c r="M12" s="30">
        <f>IF($L$12&gt;0,'HAW-Kennwerte'!U21,0)</f>
        <v>0</v>
      </c>
      <c r="N12" s="205">
        <f>IF(L12&gt;0,IF(E19=0,0,IF(E19&lt;0.7,0.7,E19)),0)</f>
        <v>0</v>
      </c>
      <c r="O12" s="26"/>
      <c r="P12" s="31">
        <f>L12*M12*N12</f>
        <v>0</v>
      </c>
      <c r="Q12" s="329">
        <f>IF(P12&gt;0,'HAW-Kennwerte'!AA21,0)</f>
        <v>0</v>
      </c>
      <c r="R12" s="329"/>
      <c r="S12" s="329"/>
      <c r="U12" s="203"/>
      <c r="V12" s="1200"/>
      <c r="W12" s="1201"/>
      <c r="X12" s="1202"/>
    </row>
    <row r="13" spans="1:24" s="19" customFormat="1" ht="11.5" customHeight="1">
      <c r="A13" s="16"/>
      <c r="B13" s="56" t="s">
        <v>125</v>
      </c>
      <c r="F13" s="18"/>
      <c r="H13" s="204" t="s">
        <v>110</v>
      </c>
      <c r="I13" s="17"/>
      <c r="L13" s="766">
        <f>IF($E$18&gt;0,$E$18,0)</f>
        <v>0</v>
      </c>
      <c r="M13" s="30">
        <f>IF(L13&gt;0,'HAW-Kennwerte'!X21,0)</f>
        <v>0</v>
      </c>
      <c r="N13" s="205">
        <f>IF(L13&gt;0,IF(E19=0,0,IF(E19&lt;0.7,0.7,E19)),0)</f>
        <v>0</v>
      </c>
      <c r="O13" s="22"/>
      <c r="P13" s="31">
        <f>L13*M13*N13</f>
        <v>0</v>
      </c>
      <c r="Q13" s="329">
        <f>IF(P13&gt;0,'HAW-Kennwerte'!AA21,0)</f>
        <v>0</v>
      </c>
      <c r="R13" s="329"/>
      <c r="S13" s="329"/>
      <c r="U13" s="203"/>
      <c r="V13" s="1200"/>
      <c r="W13" s="1201"/>
      <c r="X13" s="1202"/>
    </row>
    <row r="14" spans="1:24" s="19" customFormat="1" ht="11.5" customHeight="1">
      <c r="A14" s="16"/>
      <c r="C14" s="56"/>
      <c r="F14" s="18"/>
      <c r="H14" s="203" t="s">
        <v>20</v>
      </c>
      <c r="I14" s="17"/>
      <c r="K14" s="112"/>
      <c r="L14" s="32"/>
      <c r="M14" s="17"/>
      <c r="N14" s="32"/>
      <c r="O14" s="33"/>
      <c r="P14" s="34">
        <f>SUMPRODUCT(P6:P13,Q6:Q13)</f>
        <v>0</v>
      </c>
      <c r="Q14" s="330"/>
      <c r="R14" s="330"/>
      <c r="S14" s="330"/>
      <c r="U14" s="203"/>
      <c r="V14" s="1200"/>
      <c r="W14" s="1201"/>
      <c r="X14" s="1202"/>
    </row>
    <row r="15" spans="1:24" s="19" customFormat="1" ht="10.5">
      <c r="A15" s="16"/>
      <c r="B15" s="17"/>
      <c r="C15" s="17"/>
      <c r="D15" s="246" t="s">
        <v>73</v>
      </c>
      <c r="E15" s="407"/>
      <c r="F15" s="18"/>
      <c r="H15" s="17"/>
      <c r="I15" s="17"/>
      <c r="K15" s="35"/>
      <c r="L15" s="36"/>
      <c r="M15" s="17"/>
      <c r="N15" s="35"/>
      <c r="O15" s="35"/>
      <c r="P15" s="38">
        <f>SUM(P6:P14)</f>
        <v>0</v>
      </c>
      <c r="Q15" s="330"/>
      <c r="R15" s="330"/>
      <c r="S15" s="330"/>
      <c r="U15" s="203"/>
      <c r="V15" s="1228"/>
      <c r="W15" s="1229"/>
      <c r="X15" s="1230"/>
    </row>
    <row r="16" spans="1:24" s="19" customFormat="1" ht="11.25" customHeight="1">
      <c r="A16" s="16"/>
      <c r="B16" s="17"/>
      <c r="D16" s="223" t="s">
        <v>75</v>
      </c>
      <c r="E16" s="407"/>
      <c r="F16" s="18"/>
      <c r="H16" s="17"/>
      <c r="I16" s="17"/>
      <c r="K16" s="35"/>
      <c r="L16" s="36"/>
      <c r="M16" s="17"/>
      <c r="N16" s="35"/>
      <c r="O16" s="35"/>
      <c r="Q16" s="330"/>
      <c r="R16" s="330"/>
      <c r="S16" s="330"/>
      <c r="U16" s="203"/>
      <c r="V16" s="1228"/>
      <c r="W16" s="1229"/>
      <c r="X16" s="1230"/>
    </row>
    <row r="17" spans="1:24" s="19" customFormat="1">
      <c r="A17" s="16"/>
      <c r="B17" s="17"/>
      <c r="C17" s="17"/>
      <c r="D17" s="223" t="s">
        <v>185</v>
      </c>
      <c r="E17" s="764">
        <f>L84</f>
        <v>0</v>
      </c>
      <c r="F17" s="18"/>
      <c r="H17" s="24" t="s">
        <v>12</v>
      </c>
      <c r="I17" s="17"/>
      <c r="K17" s="35"/>
      <c r="L17" s="36"/>
      <c r="M17" s="17"/>
      <c r="N17" s="35"/>
      <c r="O17" s="35"/>
      <c r="P17" s="37"/>
      <c r="Q17" s="330"/>
      <c r="R17" s="330"/>
      <c r="S17" s="330"/>
      <c r="U17" s="203"/>
      <c r="V17" s="1228"/>
      <c r="W17" s="1229"/>
      <c r="X17" s="1230"/>
    </row>
    <row r="18" spans="1:24" s="19" customFormat="1" ht="11.5" customHeight="1">
      <c r="A18" s="16"/>
      <c r="B18" s="17"/>
      <c r="C18" s="17"/>
      <c r="D18" s="223" t="s">
        <v>186</v>
      </c>
      <c r="E18" s="764">
        <f>Q84</f>
        <v>0</v>
      </c>
      <c r="F18" s="18"/>
      <c r="H18" s="203" t="s">
        <v>0</v>
      </c>
      <c r="I18" s="17"/>
      <c r="L18" s="39">
        <f>E20/100</f>
        <v>0</v>
      </c>
      <c r="M18" s="30">
        <f>IF(N46=0,IF(E20&gt;0,'HAW-Kennwerte'!F21,0),'HAW-Kennwerte'!E21*81600/N46)</f>
        <v>0</v>
      </c>
      <c r="N18" s="205">
        <f>IF(L18&gt;0,IF(E21="ja",'HAW-Kennwerte'!G21,1),0)</f>
        <v>0</v>
      </c>
      <c r="O18" s="205"/>
      <c r="P18" s="23">
        <f>L18*M18*N18</f>
        <v>0</v>
      </c>
      <c r="Q18" s="328">
        <f>IF(P18&gt;0,Q6,0)</f>
        <v>0</v>
      </c>
      <c r="R18" s="328"/>
      <c r="S18" s="328"/>
      <c r="U18" s="203"/>
      <c r="V18" s="1200"/>
      <c r="W18" s="1201"/>
      <c r="X18" s="1202"/>
    </row>
    <row r="19" spans="1:24" s="19" customFormat="1" ht="11.5" customHeight="1">
      <c r="A19" s="16"/>
      <c r="B19" s="17"/>
      <c r="C19" s="17"/>
      <c r="D19" s="53" t="s">
        <v>27</v>
      </c>
      <c r="E19" s="688">
        <f>S88</f>
        <v>0</v>
      </c>
      <c r="F19" s="18"/>
      <c r="H19" s="203" t="s">
        <v>102</v>
      </c>
      <c r="I19" s="17"/>
      <c r="L19" s="39"/>
      <c r="M19" s="30"/>
      <c r="N19" s="25"/>
      <c r="O19" s="25"/>
      <c r="P19" s="52"/>
      <c r="Q19" s="329"/>
      <c r="R19" s="329"/>
      <c r="S19" s="329"/>
      <c r="U19" s="203"/>
      <c r="V19" s="1200"/>
      <c r="W19" s="1201"/>
      <c r="X19" s="1202"/>
    </row>
    <row r="20" spans="1:24" s="19" customFormat="1" ht="11.5" customHeight="1">
      <c r="A20" s="16"/>
      <c r="B20" s="17"/>
      <c r="C20" s="17"/>
      <c r="D20" s="53" t="s">
        <v>28</v>
      </c>
      <c r="E20" s="55">
        <f>H47</f>
        <v>0</v>
      </c>
      <c r="F20" s="18"/>
      <c r="H20" s="203" t="s">
        <v>159</v>
      </c>
      <c r="I20" s="17"/>
      <c r="L20" s="39"/>
      <c r="M20" s="30"/>
      <c r="N20" s="21"/>
      <c r="O20" s="25"/>
      <c r="P20" s="52">
        <f>L20*M20</f>
        <v>0</v>
      </c>
      <c r="Q20" s="329"/>
      <c r="R20" s="329"/>
      <c r="S20" s="329"/>
      <c r="U20" s="203"/>
      <c r="V20" s="1228"/>
      <c r="W20" s="1229"/>
      <c r="X20" s="1230"/>
    </row>
    <row r="21" spans="1:24" s="19" customFormat="1" ht="11.5" customHeight="1">
      <c r="A21" s="16"/>
      <c r="B21" s="17"/>
      <c r="C21" s="17"/>
      <c r="D21" s="223" t="s">
        <v>247</v>
      </c>
      <c r="E21" s="815" t="s">
        <v>248</v>
      </c>
      <c r="F21" s="18"/>
      <c r="H21" s="203" t="s">
        <v>20</v>
      </c>
      <c r="I21" s="17"/>
      <c r="P21" s="34">
        <f>SUMPRODUCT(P18:P20,Q18:Q20)</f>
        <v>0</v>
      </c>
      <c r="Q21" s="329"/>
      <c r="R21" s="329"/>
      <c r="S21" s="329"/>
      <c r="U21" s="203"/>
      <c r="V21" s="1200"/>
      <c r="W21" s="1201"/>
      <c r="X21" s="1202"/>
    </row>
    <row r="22" spans="1:24" s="19" customFormat="1" ht="11.5" customHeight="1">
      <c r="A22" s="16"/>
      <c r="B22" s="17"/>
      <c r="C22" s="2"/>
      <c r="F22" s="18"/>
      <c r="I22" s="17"/>
      <c r="K22" s="17"/>
      <c r="L22" s="213"/>
      <c r="M22" s="17"/>
      <c r="N22" s="112"/>
      <c r="O22" s="212"/>
      <c r="P22" s="38">
        <f>SUM(P18:P21)</f>
        <v>0</v>
      </c>
      <c r="Q22" s="28"/>
      <c r="R22" s="28"/>
      <c r="S22" s="28"/>
      <c r="U22" s="203"/>
      <c r="V22" s="1228"/>
      <c r="W22" s="1229"/>
      <c r="X22" s="1230"/>
    </row>
    <row r="23" spans="1:24" s="19" customFormat="1" ht="11.5" customHeight="1">
      <c r="A23" s="16"/>
      <c r="B23" s="17"/>
      <c r="C23" s="17"/>
      <c r="D23" s="223" t="s">
        <v>127</v>
      </c>
      <c r="E23" s="407">
        <f>P103</f>
        <v>0</v>
      </c>
      <c r="F23" s="18"/>
      <c r="I23" s="17"/>
      <c r="J23" s="112"/>
      <c r="K23" s="17"/>
      <c r="L23" s="44"/>
      <c r="M23" s="17"/>
      <c r="N23" s="112"/>
      <c r="O23" s="212"/>
      <c r="R23" s="40"/>
      <c r="S23" s="40"/>
      <c r="U23" s="203"/>
      <c r="V23" s="1228"/>
      <c r="W23" s="1229"/>
      <c r="X23" s="1230"/>
    </row>
    <row r="24" spans="1:24" ht="12.65" customHeight="1">
      <c r="A24" s="13"/>
      <c r="B24" s="2"/>
      <c r="C24" s="17"/>
      <c r="D24" s="53" t="s">
        <v>13</v>
      </c>
      <c r="E24" s="408" t="str">
        <f>P104</f>
        <v/>
      </c>
      <c r="F24" s="14"/>
      <c r="I24" s="24" t="s">
        <v>15</v>
      </c>
      <c r="K24" s="17"/>
      <c r="L24" s="41"/>
      <c r="M24" s="2"/>
      <c r="P24" s="43"/>
      <c r="Q24" s="1185" t="s">
        <v>789</v>
      </c>
      <c r="R24" s="12"/>
      <c r="S24" s="40"/>
      <c r="V24" s="1231"/>
      <c r="W24" s="1232"/>
      <c r="X24" s="1174"/>
    </row>
    <row r="25" spans="1:24" ht="11.15" customHeight="1">
      <c r="A25" s="13"/>
      <c r="B25" s="2"/>
      <c r="D25" s="53" t="s">
        <v>14</v>
      </c>
      <c r="E25" s="688">
        <f>IF(E23&gt;0,IF(E24="",0,1-E24),0)</f>
        <v>0</v>
      </c>
      <c r="F25" s="14"/>
      <c r="I25" s="1169" t="s">
        <v>293</v>
      </c>
      <c r="J25" s="385"/>
      <c r="K25" s="385"/>
      <c r="L25" s="386"/>
      <c r="M25" s="387"/>
      <c r="N25" s="388"/>
      <c r="P25" s="404"/>
      <c r="Q25" s="720"/>
      <c r="R25" s="813"/>
      <c r="S25" s="814"/>
      <c r="V25" s="1231"/>
      <c r="W25" s="1232"/>
      <c r="X25" s="1174"/>
    </row>
    <row r="26" spans="1:24">
      <c r="A26" s="13"/>
      <c r="B26" s="2"/>
      <c r="C26" s="2"/>
      <c r="D26" s="2"/>
      <c r="E26" s="2"/>
      <c r="F26" s="14"/>
      <c r="I26" s="1170"/>
      <c r="J26" s="389"/>
      <c r="K26" s="389"/>
      <c r="L26" s="390"/>
      <c r="M26" s="389"/>
      <c r="N26" s="391"/>
      <c r="P26" s="405"/>
      <c r="Q26" s="720"/>
      <c r="R26" s="813"/>
      <c r="S26" s="813"/>
      <c r="V26" s="1231"/>
      <c r="W26" s="1232"/>
      <c r="X26" s="1174"/>
    </row>
    <row r="27" spans="1:24" s="19" customFormat="1" ht="11.5" customHeight="1">
      <c r="A27" s="16"/>
      <c r="B27" s="17"/>
      <c r="C27" s="53" t="s">
        <v>29</v>
      </c>
      <c r="D27" s="1367">
        <f>HAW!D24</f>
        <v>0</v>
      </c>
      <c r="E27" s="1368"/>
      <c r="F27" s="18"/>
      <c r="I27" s="1170"/>
      <c r="J27" s="392"/>
      <c r="K27" s="392"/>
      <c r="L27" s="392"/>
      <c r="M27" s="392"/>
      <c r="N27" s="393"/>
      <c r="O27" s="35"/>
      <c r="P27" s="405"/>
      <c r="Q27" s="721"/>
      <c r="R27" s="814"/>
      <c r="S27" s="814"/>
      <c r="U27" s="203"/>
      <c r="V27" s="1228"/>
      <c r="W27" s="1229"/>
      <c r="X27" s="1230"/>
    </row>
    <row r="28" spans="1:24" s="19" customFormat="1" ht="11.5" customHeight="1">
      <c r="A28" s="16"/>
      <c r="B28" s="17"/>
      <c r="C28" s="53" t="s">
        <v>30</v>
      </c>
      <c r="D28" s="1369">
        <f>HAW!D25</f>
        <v>0</v>
      </c>
      <c r="E28" s="1370"/>
      <c r="F28" s="18"/>
      <c r="I28" s="1170"/>
      <c r="J28" s="392"/>
      <c r="K28" s="392"/>
      <c r="L28" s="392"/>
      <c r="M28" s="392"/>
      <c r="N28" s="392"/>
      <c r="P28" s="405"/>
      <c r="Q28" s="721"/>
      <c r="R28" s="814"/>
      <c r="S28" s="814"/>
      <c r="U28" s="203"/>
      <c r="V28" s="1228"/>
      <c r="W28" s="1229"/>
      <c r="X28" s="1230"/>
    </row>
    <row r="29" spans="1:24" s="19" customFormat="1" ht="11.5" customHeight="1">
      <c r="A29" s="102"/>
      <c r="B29" s="103"/>
      <c r="C29" s="103"/>
      <c r="D29" s="103"/>
      <c r="E29" s="103"/>
      <c r="F29" s="104"/>
      <c r="I29" s="1170"/>
      <c r="J29" s="392"/>
      <c r="K29" s="392"/>
      <c r="L29" s="392"/>
      <c r="M29" s="392"/>
      <c r="N29" s="392"/>
      <c r="P29" s="406"/>
      <c r="Q29" s="721"/>
      <c r="R29" s="814"/>
      <c r="S29" s="814"/>
      <c r="U29" s="203"/>
      <c r="V29" s="1228"/>
      <c r="W29" s="1229"/>
      <c r="X29" s="1230"/>
    </row>
    <row r="30" spans="1:24" s="19" customFormat="1" ht="11.25" customHeight="1">
      <c r="A30" s="17"/>
      <c r="I30" s="17"/>
      <c r="P30" s="38">
        <f>SUM(P25:P29)</f>
        <v>0</v>
      </c>
      <c r="Q30" s="40"/>
      <c r="R30" s="40"/>
      <c r="S30" s="40"/>
      <c r="U30" s="203"/>
      <c r="V30" s="1228"/>
      <c r="W30" s="1229"/>
      <c r="X30" s="1230"/>
    </row>
    <row r="31" spans="1:24" ht="11.25" customHeight="1">
      <c r="A31" s="2"/>
      <c r="B31" s="2"/>
      <c r="C31" s="2"/>
      <c r="H31" s="106"/>
      <c r="I31" s="224"/>
      <c r="J31" s="225"/>
      <c r="K31" s="224"/>
      <c r="L31" s="226"/>
      <c r="M31" s="225"/>
      <c r="N31" s="107"/>
      <c r="O31" s="107"/>
      <c r="P31" s="227"/>
      <c r="Q31" s="50"/>
      <c r="R31" s="50"/>
      <c r="S31" s="50"/>
      <c r="V31" s="1231"/>
      <c r="W31" s="1232"/>
      <c r="X31" s="1174"/>
    </row>
    <row r="32" spans="1:24" ht="11.25" customHeight="1">
      <c r="A32" s="2"/>
      <c r="B32" s="2"/>
      <c r="C32" s="2"/>
      <c r="I32" s="47"/>
      <c r="J32" s="24"/>
      <c r="K32" s="47"/>
      <c r="L32" s="48"/>
      <c r="M32" s="24"/>
      <c r="N32" s="49"/>
      <c r="O32" s="49"/>
      <c r="P32" s="50"/>
      <c r="Q32" s="50"/>
      <c r="R32" s="50"/>
      <c r="S32" s="50"/>
      <c r="V32" s="1231"/>
      <c r="W32" s="1232"/>
      <c r="X32" s="1174"/>
    </row>
    <row r="33" spans="1:24" ht="50.15" customHeight="1" thickBot="1">
      <c r="A33" s="2"/>
      <c r="B33" s="2"/>
      <c r="C33" s="2"/>
      <c r="D33" s="2"/>
      <c r="F33" s="219" t="s">
        <v>16</v>
      </c>
      <c r="G33" s="2"/>
      <c r="H33" s="220" t="s">
        <v>0</v>
      </c>
      <c r="I33" s="220" t="s">
        <v>1</v>
      </c>
      <c r="J33" s="221" t="s">
        <v>197</v>
      </c>
      <c r="K33" s="221" t="s">
        <v>159</v>
      </c>
      <c r="L33" s="221" t="s">
        <v>198</v>
      </c>
      <c r="M33" s="221" t="s">
        <v>22</v>
      </c>
      <c r="N33" s="220" t="s">
        <v>20</v>
      </c>
      <c r="O33" s="221" t="s">
        <v>199</v>
      </c>
      <c r="T33" s="77"/>
      <c r="V33" s="1231"/>
      <c r="W33" s="1232"/>
      <c r="X33" s="1174"/>
    </row>
    <row r="34" spans="1:24" ht="17.149999999999999" customHeight="1" thickBot="1">
      <c r="B34" s="2"/>
      <c r="C34" s="2"/>
      <c r="D34" s="2"/>
      <c r="G34" s="2"/>
      <c r="H34" s="222">
        <f>P6+P18+SUMIF(Q25:Q29,H33,P25:P29)</f>
        <v>0</v>
      </c>
      <c r="I34" s="222">
        <f>IFERROR(P7+P19+SUMIF(Q25:Q29,I33,P25:P29),"")</f>
        <v>0</v>
      </c>
      <c r="J34" s="422"/>
      <c r="K34" s="422"/>
      <c r="L34" s="222">
        <f>P10+P11+SUMIF(Q25:Q29,L33,P25:P29)</f>
        <v>0</v>
      </c>
      <c r="M34" s="222">
        <f>P12+P13+SUMIF(Q25:Q29,M33,P25:P29)</f>
        <v>0</v>
      </c>
      <c r="N34" s="222">
        <f>P14+P21+SUMIF(Q25:Q29,N33,P25:P29)</f>
        <v>0</v>
      </c>
      <c r="O34" s="222">
        <f>SUMIF(Q25:Q29,O33,P25:P29)</f>
        <v>0</v>
      </c>
      <c r="P34" s="331">
        <f>SUM(H34:O34)</f>
        <v>0</v>
      </c>
      <c r="Q34" s="101"/>
      <c r="R34" s="101"/>
      <c r="S34" s="101"/>
      <c r="T34" s="77"/>
      <c r="V34" s="1231"/>
      <c r="W34" s="1232"/>
      <c r="X34" s="1174"/>
    </row>
    <row r="35" spans="1:24">
      <c r="A35" s="106"/>
      <c r="B35" s="105"/>
      <c r="C35" s="46"/>
      <c r="D35" s="46"/>
      <c r="E35" s="46"/>
      <c r="F35" s="46"/>
      <c r="G35" s="106"/>
      <c r="H35" s="106"/>
      <c r="I35" s="106"/>
      <c r="J35" s="107"/>
      <c r="K35" s="106"/>
      <c r="L35" s="107"/>
      <c r="M35" s="106"/>
      <c r="N35" s="107"/>
      <c r="O35" s="107"/>
      <c r="P35" s="107"/>
      <c r="Q35" s="107"/>
      <c r="R35" s="49"/>
      <c r="S35" s="49"/>
      <c r="T35" s="77"/>
      <c r="V35" s="1231"/>
      <c r="W35" s="1232"/>
      <c r="X35" s="1174"/>
    </row>
    <row r="36" spans="1:24">
      <c r="S36" s="49"/>
      <c r="T36" s="77"/>
      <c r="V36" s="1231"/>
      <c r="W36" s="1232"/>
      <c r="X36" s="1174"/>
    </row>
    <row r="37" spans="1:24">
      <c r="A37" s="7"/>
      <c r="B37" s="8"/>
      <c r="C37" s="8"/>
      <c r="D37" s="8"/>
      <c r="E37" s="8"/>
      <c r="F37" s="8"/>
      <c r="G37" s="8"/>
      <c r="H37" s="8"/>
      <c r="I37" s="8"/>
      <c r="J37" s="8"/>
      <c r="K37" s="8"/>
      <c r="L37" s="8"/>
      <c r="M37" s="8"/>
      <c r="N37" s="108"/>
      <c r="O37" s="108"/>
      <c r="P37" s="109"/>
      <c r="S37" s="49"/>
      <c r="T37" s="77"/>
      <c r="V37" s="1231"/>
      <c r="W37" s="1232"/>
      <c r="X37" s="1174"/>
    </row>
    <row r="38" spans="1:24" ht="10.5">
      <c r="A38" s="13"/>
      <c r="E38" s="110" t="s">
        <v>70</v>
      </c>
      <c r="F38" s="2"/>
      <c r="G38" s="2"/>
      <c r="H38" s="2"/>
      <c r="I38" s="2"/>
      <c r="J38" s="2"/>
      <c r="K38" s="238" t="s">
        <v>69</v>
      </c>
      <c r="M38" s="2"/>
      <c r="N38" s="49"/>
      <c r="O38" s="49"/>
      <c r="P38" s="111"/>
      <c r="S38" s="49"/>
      <c r="T38" s="77"/>
      <c r="V38" s="1231"/>
      <c r="W38" s="1232"/>
      <c r="X38" s="1174"/>
    </row>
    <row r="39" spans="1:24" ht="2.5" customHeight="1">
      <c r="A39" s="13"/>
      <c r="E39" s="110"/>
      <c r="F39" s="2"/>
      <c r="G39" s="2"/>
      <c r="H39" s="46"/>
      <c r="I39" s="2"/>
      <c r="J39" s="2"/>
      <c r="K39" s="2"/>
      <c r="L39" s="2"/>
      <c r="M39" s="2"/>
      <c r="N39" s="49"/>
      <c r="O39" s="49"/>
      <c r="P39" s="111"/>
      <c r="S39" s="49"/>
      <c r="T39" s="77"/>
      <c r="V39" s="1231"/>
      <c r="W39" s="1232"/>
      <c r="X39" s="1174"/>
    </row>
    <row r="40" spans="1:24" ht="11.15" customHeight="1">
      <c r="A40" s="13"/>
      <c r="E40" s="207">
        <f>IF($E$44&gt;2023,$E$44-4,"")</f>
        <v>2021</v>
      </c>
      <c r="H40" s="409"/>
      <c r="I40" s="2" t="s">
        <v>25</v>
      </c>
      <c r="J40" s="2"/>
      <c r="K40" s="2"/>
      <c r="L40" s="49"/>
      <c r="M40" s="2"/>
      <c r="N40" s="49"/>
      <c r="O40" s="49"/>
      <c r="P40" s="111"/>
      <c r="S40" s="49"/>
      <c r="T40" s="77"/>
      <c r="V40" s="1231"/>
      <c r="W40" s="1232"/>
      <c r="X40" s="1174"/>
    </row>
    <row r="41" spans="1:24" ht="11.15" customHeight="1">
      <c r="A41" s="13"/>
      <c r="E41" s="207">
        <f>IF($E$44&gt;2023,$E$44-3,"")</f>
        <v>2022</v>
      </c>
      <c r="H41" s="409"/>
      <c r="I41" s="228" t="s">
        <v>25</v>
      </c>
      <c r="J41" s="2"/>
      <c r="K41" s="2"/>
      <c r="L41" s="49"/>
      <c r="M41" s="2"/>
      <c r="N41" s="49"/>
      <c r="O41" s="49"/>
      <c r="P41" s="111"/>
      <c r="S41" s="49"/>
      <c r="T41" s="77"/>
      <c r="V41" s="1231"/>
      <c r="W41" s="1232"/>
      <c r="X41" s="1174"/>
    </row>
    <row r="42" spans="1:24" ht="11.15" customHeight="1">
      <c r="A42" s="13"/>
      <c r="E42" s="207">
        <f>IF($E$44&gt;2023,$E$44-2,"")</f>
        <v>2023</v>
      </c>
      <c r="H42" s="409"/>
      <c r="I42" s="228" t="s">
        <v>25</v>
      </c>
      <c r="J42" s="2"/>
      <c r="K42" s="2"/>
      <c r="L42" s="49"/>
      <c r="M42" s="2"/>
      <c r="N42" s="49"/>
      <c r="O42" s="49"/>
      <c r="P42" s="111"/>
      <c r="S42" s="49"/>
      <c r="T42" s="77"/>
      <c r="V42" s="1231"/>
      <c r="W42" s="1232"/>
      <c r="X42" s="1174"/>
    </row>
    <row r="43" spans="1:24" ht="11.15" customHeight="1">
      <c r="A43" s="13"/>
      <c r="E43" s="207">
        <f>IF($E$44&gt;2023,$E$44-1,"")</f>
        <v>2024</v>
      </c>
      <c r="H43" s="409"/>
      <c r="I43" s="228" t="s">
        <v>25</v>
      </c>
      <c r="J43" s="2"/>
      <c r="M43" s="207" t="s">
        <v>56</v>
      </c>
      <c r="N43" s="247">
        <f>'HAW-Kennwerte'!E29</f>
        <v>81600</v>
      </c>
      <c r="O43" s="49"/>
      <c r="P43" s="111"/>
      <c r="S43" s="49"/>
      <c r="T43" s="77"/>
      <c r="V43" s="1231"/>
      <c r="W43" s="1232"/>
      <c r="X43" s="1174"/>
    </row>
    <row r="44" spans="1:24" ht="11.15" customHeight="1">
      <c r="A44" s="13"/>
      <c r="D44" s="236" t="s">
        <v>184</v>
      </c>
      <c r="E44" s="717">
        <v>2025</v>
      </c>
      <c r="H44" s="409"/>
      <c r="I44" s="228" t="s">
        <v>25</v>
      </c>
      <c r="J44" s="49"/>
      <c r="M44" s="207" t="s">
        <v>119</v>
      </c>
      <c r="N44" s="475"/>
      <c r="O44" s="49"/>
      <c r="P44" s="111"/>
      <c r="S44" s="49"/>
      <c r="T44" s="77"/>
      <c r="V44" s="1231"/>
      <c r="W44" s="1232"/>
      <c r="X44" s="1174"/>
    </row>
    <row r="45" spans="1:24" ht="2.5" customHeight="1">
      <c r="A45" s="13"/>
      <c r="E45" s="2"/>
      <c r="F45" s="2"/>
      <c r="H45" s="2"/>
      <c r="I45" s="2"/>
      <c r="J45" s="49"/>
      <c r="M45" s="2"/>
      <c r="N45" s="2"/>
      <c r="O45" s="49"/>
      <c r="P45" s="111"/>
      <c r="S45" s="49"/>
      <c r="T45" s="77"/>
      <c r="V45" s="1231"/>
      <c r="W45" s="1232"/>
      <c r="X45" s="1174"/>
    </row>
    <row r="46" spans="1:24">
      <c r="A46" s="13"/>
      <c r="E46" s="2"/>
      <c r="F46" s="2"/>
      <c r="G46" s="116" t="s">
        <v>33</v>
      </c>
      <c r="H46" s="409"/>
      <c r="I46" s="2"/>
      <c r="J46" s="49"/>
      <c r="M46" s="116" t="s">
        <v>33</v>
      </c>
      <c r="N46" s="409"/>
      <c r="O46" s="49"/>
      <c r="P46" s="111"/>
      <c r="S46" s="49"/>
      <c r="T46" s="77"/>
      <c r="V46" s="1231"/>
      <c r="W46" s="1232"/>
      <c r="X46" s="1174"/>
    </row>
    <row r="47" spans="1:24" ht="12" customHeight="1">
      <c r="A47" s="13"/>
      <c r="E47" s="2"/>
      <c r="F47" s="2"/>
      <c r="G47" s="2"/>
      <c r="H47" s="54">
        <f>IF(H46=0,(H44*1.02*5+H43*1.04*4+H42*1.06*3+H41*1.08*2+H40*1.1)/15,H46)</f>
        <v>0</v>
      </c>
      <c r="I47" s="2"/>
      <c r="J47" s="49"/>
      <c r="M47" s="2"/>
      <c r="N47" s="54">
        <f>IF(N46&gt;0,N46,'HAW-Kennwerte'!E31)</f>
        <v>81600</v>
      </c>
      <c r="O47" s="49"/>
      <c r="P47" s="111"/>
      <c r="S47" s="49"/>
      <c r="T47" s="77"/>
      <c r="V47" s="1200"/>
      <c r="W47" s="1201"/>
      <c r="X47" s="1202"/>
    </row>
    <row r="48" spans="1:24">
      <c r="A48" s="45"/>
      <c r="B48" s="46"/>
      <c r="C48" s="46"/>
      <c r="D48" s="46"/>
      <c r="E48" s="46"/>
      <c r="F48" s="46"/>
      <c r="G48" s="46"/>
      <c r="H48" s="46"/>
      <c r="I48" s="46"/>
      <c r="J48" s="119"/>
      <c r="K48" s="46"/>
      <c r="L48" s="119"/>
      <c r="M48" s="46"/>
      <c r="N48" s="119"/>
      <c r="O48" s="119"/>
      <c r="P48" s="120"/>
      <c r="S48" s="49"/>
      <c r="T48" s="77"/>
      <c r="V48" s="1231"/>
      <c r="W48" s="1232"/>
      <c r="X48" s="1174"/>
    </row>
    <row r="49" spans="1:24" ht="11.25" customHeight="1">
      <c r="B49" s="117" t="s">
        <v>34</v>
      </c>
      <c r="S49" s="49"/>
      <c r="T49" s="2"/>
      <c r="V49" s="1231"/>
      <c r="W49" s="1232"/>
      <c r="X49" s="1174"/>
    </row>
    <row r="50" spans="1:24">
      <c r="A50" s="2"/>
      <c r="B50" s="106"/>
      <c r="C50" s="209"/>
      <c r="D50" s="106"/>
      <c r="E50" s="106"/>
      <c r="F50" s="106"/>
      <c r="G50" s="106"/>
      <c r="H50" s="106"/>
      <c r="I50" s="106"/>
      <c r="J50" s="106"/>
      <c r="K50" s="107"/>
      <c r="L50" s="106"/>
      <c r="M50" s="107"/>
      <c r="N50" s="106"/>
      <c r="O50" s="107"/>
      <c r="P50" s="107"/>
      <c r="Q50" s="107"/>
      <c r="R50" s="49"/>
      <c r="S50" s="49"/>
      <c r="T50" s="49"/>
      <c r="V50" s="1231"/>
      <c r="W50" s="1232"/>
      <c r="X50" s="1174"/>
    </row>
    <row r="51" spans="1:24">
      <c r="A51" s="2"/>
      <c r="J51" s="1"/>
      <c r="K51" s="42"/>
      <c r="L51" s="1"/>
      <c r="M51" s="42"/>
      <c r="N51" s="1"/>
      <c r="Q51" s="201" t="str">
        <f>HAW!B28</f>
        <v>Kennwertverfahren NRW für HAW; HIS-Institut für Hochschulentwicklung e.V. (24.04.2026)</v>
      </c>
      <c r="R51" s="250"/>
      <c r="S51" s="2"/>
      <c r="T51" s="2"/>
      <c r="V51" s="1231"/>
      <c r="W51" s="1232"/>
      <c r="X51" s="1174"/>
    </row>
    <row r="52" spans="1:24">
      <c r="A52" s="2"/>
      <c r="T52" s="121"/>
      <c r="V52" s="1231"/>
      <c r="W52" s="1232"/>
      <c r="X52" s="1174"/>
    </row>
    <row r="53" spans="1:24">
      <c r="A53" s="2"/>
      <c r="T53" s="121"/>
      <c r="V53" s="1231"/>
      <c r="W53" s="1232"/>
      <c r="X53" s="1174"/>
    </row>
    <row r="54" spans="1:24" ht="10.5">
      <c r="A54" s="2"/>
      <c r="B54" s="394" t="str">
        <f>IF(B8=0,B7,CONCATENATE(B7,B8))</f>
        <v>Hochschule …</v>
      </c>
      <c r="C54" s="395"/>
      <c r="D54" s="395"/>
      <c r="E54" s="395"/>
      <c r="F54" s="395"/>
      <c r="G54" s="395"/>
      <c r="H54" s="395"/>
      <c r="I54" s="395"/>
      <c r="J54" s="396"/>
      <c r="K54" s="395"/>
      <c r="L54" s="396"/>
      <c r="M54" s="395"/>
      <c r="N54" s="396"/>
      <c r="O54" s="396"/>
      <c r="P54" s="396"/>
      <c r="Q54" s="396"/>
      <c r="R54" s="396"/>
      <c r="S54" s="396"/>
      <c r="T54" s="121"/>
      <c r="V54" s="1231"/>
      <c r="W54" s="1232"/>
      <c r="X54" s="1174"/>
    </row>
    <row r="55" spans="1:24">
      <c r="A55" s="2"/>
      <c r="B55" s="395" t="str">
        <f>B9</f>
        <v>[Fakultät/Fachbereich]</v>
      </c>
      <c r="C55" s="395"/>
      <c r="D55" s="395"/>
      <c r="E55" s="395"/>
      <c r="F55" s="395"/>
      <c r="G55" s="395"/>
      <c r="H55" s="395"/>
      <c r="I55" s="395"/>
      <c r="J55" s="396"/>
      <c r="K55" s="395"/>
      <c r="L55" s="396"/>
      <c r="M55" s="395"/>
      <c r="N55" s="396"/>
      <c r="O55" s="396"/>
      <c r="P55" s="396"/>
      <c r="Q55" s="396"/>
      <c r="R55" s="396"/>
      <c r="S55" s="396"/>
      <c r="T55" s="121"/>
      <c r="V55" s="1231"/>
      <c r="W55" s="1232"/>
      <c r="X55" s="1174"/>
    </row>
    <row r="56" spans="1:24">
      <c r="A56" s="2"/>
      <c r="B56" s="395" t="str">
        <f>B10</f>
        <v>[Department, Institut o.a.]</v>
      </c>
      <c r="C56" s="395"/>
      <c r="D56" s="395"/>
      <c r="E56" s="395"/>
      <c r="F56" s="395"/>
      <c r="G56" s="395"/>
      <c r="H56" s="395"/>
      <c r="I56" s="395"/>
      <c r="J56" s="396"/>
      <c r="K56" s="395"/>
      <c r="L56" s="396"/>
      <c r="M56" s="395"/>
      <c r="N56" s="396"/>
      <c r="O56" s="396"/>
      <c r="P56" s="396"/>
      <c r="Q56" s="396"/>
      <c r="R56" s="396"/>
      <c r="S56" s="396"/>
      <c r="T56" s="121"/>
      <c r="V56" s="1231"/>
      <c r="W56" s="1232"/>
      <c r="X56" s="1174"/>
    </row>
    <row r="57" spans="1:24">
      <c r="A57" s="2"/>
      <c r="B57" s="395" t="str">
        <f>CONCATENATE(B12,": ",B13)</f>
        <v>Lehr- und Forschungsbereich: Design, Gestaltung</v>
      </c>
      <c r="C57" s="395"/>
      <c r="D57" s="395"/>
      <c r="E57" s="395"/>
      <c r="F57" s="395"/>
      <c r="G57" s="395"/>
      <c r="H57" s="395"/>
      <c r="I57" s="395"/>
      <c r="J57" s="396"/>
      <c r="K57" s="395"/>
      <c r="L57" s="396"/>
      <c r="M57" s="395"/>
      <c r="N57" s="396"/>
      <c r="O57" s="396"/>
      <c r="P57" s="396"/>
      <c r="Q57" s="396"/>
      <c r="R57" s="396"/>
      <c r="S57" s="396"/>
      <c r="T57" s="121"/>
      <c r="V57" s="1231"/>
      <c r="W57" s="1232"/>
      <c r="X57" s="1174"/>
    </row>
    <row r="58" spans="1:24">
      <c r="A58" s="2"/>
      <c r="T58" s="121"/>
      <c r="V58" s="1231"/>
      <c r="W58" s="1232"/>
      <c r="X58" s="1174"/>
    </row>
    <row r="59" spans="1:24">
      <c r="A59" s="2"/>
      <c r="B59" s="378" t="s">
        <v>95</v>
      </c>
      <c r="T59" s="121"/>
      <c r="V59" s="1231"/>
      <c r="W59" s="1232"/>
      <c r="X59" s="1174"/>
    </row>
    <row r="60" spans="1:24" s="202" customFormat="1" ht="2.25" customHeight="1">
      <c r="A60" s="110"/>
      <c r="B60" s="909"/>
      <c r="C60" s="910"/>
      <c r="D60" s="910"/>
      <c r="E60" s="910"/>
      <c r="F60" s="910"/>
      <c r="G60" s="910"/>
      <c r="H60" s="910"/>
      <c r="I60" s="910"/>
      <c r="J60" s="544"/>
      <c r="K60" s="910"/>
      <c r="L60" s="544"/>
      <c r="M60" s="910"/>
      <c r="N60" s="544"/>
      <c r="O60" s="544"/>
      <c r="P60" s="544"/>
      <c r="Q60" s="544"/>
      <c r="R60" s="544"/>
      <c r="S60" s="544"/>
      <c r="T60" s="320"/>
      <c r="V60" s="1231"/>
      <c r="W60" s="1232"/>
      <c r="X60" s="1174"/>
    </row>
    <row r="61" spans="1:24" s="202" customFormat="1" ht="10" customHeight="1">
      <c r="A61" s="206"/>
      <c r="B61" s="210"/>
      <c r="C61" s="206"/>
      <c r="D61" s="206"/>
      <c r="E61" s="206"/>
      <c r="F61" s="206"/>
      <c r="G61" s="206"/>
      <c r="H61" s="238"/>
      <c r="I61" s="238"/>
      <c r="J61" s="239"/>
      <c r="K61" s="238"/>
      <c r="L61" s="239"/>
      <c r="M61" s="238"/>
      <c r="N61" s="239"/>
      <c r="O61" s="239"/>
      <c r="P61" s="239"/>
      <c r="Q61" s="208"/>
      <c r="R61" s="208"/>
      <c r="S61" s="1166" t="s">
        <v>60</v>
      </c>
      <c r="T61" s="321"/>
      <c r="V61" s="1231"/>
      <c r="W61" s="1232"/>
      <c r="X61" s="1174"/>
    </row>
    <row r="62" spans="1:24" s="202" customFormat="1" ht="10" customHeight="1">
      <c r="A62" s="206"/>
      <c r="B62" s="210"/>
      <c r="C62" s="206"/>
      <c r="E62" s="206"/>
      <c r="F62" s="206"/>
      <c r="G62" s="206"/>
      <c r="H62" s="240" t="s">
        <v>60</v>
      </c>
      <c r="I62" s="241"/>
      <c r="J62" s="241"/>
      <c r="K62" s="240"/>
      <c r="L62" s="240"/>
      <c r="M62" s="243" t="s">
        <v>61</v>
      </c>
      <c r="N62" s="241"/>
      <c r="O62" s="240"/>
      <c r="P62" s="240"/>
      <c r="Q62" s="240"/>
      <c r="R62" s="240"/>
      <c r="S62" s="1189" t="s">
        <v>857</v>
      </c>
      <c r="T62" s="321"/>
      <c r="V62" s="1231"/>
      <c r="W62" s="1232"/>
      <c r="X62" s="1174"/>
    </row>
    <row r="63" spans="1:24" ht="10.4" customHeight="1">
      <c r="A63" s="2"/>
      <c r="B63" s="235"/>
      <c r="C63" s="204"/>
      <c r="F63" s="2"/>
      <c r="G63" s="2"/>
      <c r="H63" s="49"/>
      <c r="I63" s="2"/>
      <c r="J63" s="2"/>
      <c r="K63" s="49"/>
      <c r="L63" s="1"/>
      <c r="M63" s="244"/>
      <c r="N63" s="2"/>
      <c r="O63" s="49"/>
      <c r="P63" s="1"/>
      <c r="Q63" s="49"/>
      <c r="R63" s="49"/>
      <c r="S63" s="234"/>
      <c r="T63" s="321"/>
      <c r="V63" s="1231"/>
      <c r="W63" s="1232"/>
      <c r="X63" s="1174"/>
    </row>
    <row r="64" spans="1:24" ht="10.5">
      <c r="A64" s="2"/>
      <c r="B64" s="235"/>
      <c r="C64" s="204"/>
      <c r="E64" s="237" t="s">
        <v>66</v>
      </c>
      <c r="F64" s="2"/>
      <c r="G64" s="2"/>
      <c r="H64" s="202" t="s">
        <v>67</v>
      </c>
      <c r="I64" s="2"/>
      <c r="J64" s="2"/>
      <c r="K64" s="49"/>
      <c r="L64" s="1"/>
      <c r="M64" s="245" t="s">
        <v>67</v>
      </c>
      <c r="N64" s="2"/>
      <c r="O64" s="49"/>
      <c r="P64" s="1"/>
      <c r="T64" s="321"/>
      <c r="V64" s="1231"/>
      <c r="W64" s="1232"/>
      <c r="X64" s="1174"/>
    </row>
    <row r="65" spans="1:24" ht="12" customHeight="1">
      <c r="A65" s="2"/>
      <c r="B65" s="210"/>
      <c r="C65" s="206"/>
      <c r="D65" s="236" t="s">
        <v>65</v>
      </c>
      <c r="E65" s="410"/>
      <c r="F65" s="2"/>
      <c r="G65" s="2"/>
      <c r="H65" s="325">
        <f>SUM(H70:H81)</f>
        <v>0</v>
      </c>
      <c r="I65" s="326"/>
      <c r="J65" s="2"/>
      <c r="K65" s="49"/>
      <c r="L65" s="1"/>
      <c r="M65" s="1191">
        <f>SUM(M70:M81)</f>
        <v>0</v>
      </c>
      <c r="N65" s="326"/>
      <c r="O65" s="49"/>
      <c r="P65" s="1"/>
      <c r="S65" s="323">
        <f>H65+M65</f>
        <v>0</v>
      </c>
      <c r="T65" s="321"/>
      <c r="V65" s="1231"/>
      <c r="W65" s="1232"/>
      <c r="X65" s="1174"/>
    </row>
    <row r="66" spans="1:24" ht="12" customHeight="1">
      <c r="A66" s="2"/>
      <c r="B66" s="210"/>
      <c r="C66" s="206"/>
      <c r="D66" s="236" t="s">
        <v>74</v>
      </c>
      <c r="E66" s="411"/>
      <c r="F66" s="2"/>
      <c r="G66" s="2"/>
      <c r="H66" s="338">
        <f>H65*SUM(E65,E66)</f>
        <v>0</v>
      </c>
      <c r="I66" s="327" t="str">
        <f>IF(H66&gt;0,"SWS","")</f>
        <v/>
      </c>
      <c r="J66" s="2"/>
      <c r="K66" s="49"/>
      <c r="L66" s="1"/>
      <c r="M66" s="1192">
        <f>M65*SUM(E65,E66)</f>
        <v>0</v>
      </c>
      <c r="N66" s="327" t="str">
        <f>IF(M66&gt;0,"SWS","")</f>
        <v/>
      </c>
      <c r="O66" s="49"/>
      <c r="P66" s="1"/>
      <c r="S66" s="55">
        <f>SUM(H66,M66)</f>
        <v>0</v>
      </c>
      <c r="T66" s="321"/>
      <c r="V66" s="1231"/>
      <c r="W66" s="1232"/>
      <c r="X66" s="1174"/>
    </row>
    <row r="67" spans="1:24" ht="10.5">
      <c r="A67" s="2"/>
      <c r="B67" s="13"/>
      <c r="C67" s="2"/>
      <c r="D67" s="2"/>
      <c r="E67" s="324">
        <f>SUM(E65:E66)</f>
        <v>0</v>
      </c>
      <c r="F67" s="2"/>
      <c r="G67" s="2"/>
      <c r="H67" s="2"/>
      <c r="I67" s="2"/>
      <c r="J67" s="2"/>
      <c r="K67" s="49"/>
      <c r="L67" s="1"/>
      <c r="M67" s="244"/>
      <c r="N67" s="2"/>
      <c r="O67" s="49"/>
      <c r="P67" s="49"/>
      <c r="Q67" s="49"/>
      <c r="R67" s="49"/>
      <c r="S67" s="49"/>
      <c r="T67" s="321"/>
      <c r="V67" s="1231"/>
      <c r="W67" s="1232"/>
      <c r="X67" s="1174"/>
    </row>
    <row r="68" spans="1:24">
      <c r="A68" s="2"/>
      <c r="B68" s="13"/>
      <c r="C68" s="2"/>
      <c r="D68" s="2"/>
      <c r="F68" s="2"/>
      <c r="G68" s="2"/>
      <c r="H68" s="2"/>
      <c r="I68" s="2"/>
      <c r="J68" s="2"/>
      <c r="K68" s="113" t="s">
        <v>97</v>
      </c>
      <c r="L68" s="1"/>
      <c r="M68" s="244"/>
      <c r="N68" s="2"/>
      <c r="O68" s="49"/>
      <c r="P68" s="113" t="s">
        <v>97</v>
      </c>
      <c r="Q68" s="49"/>
      <c r="R68" s="49"/>
      <c r="S68" s="49"/>
      <c r="T68" s="321"/>
      <c r="V68" s="1231"/>
      <c r="W68" s="1232"/>
      <c r="X68" s="1174"/>
    </row>
    <row r="69" spans="1:24" ht="13.4" customHeight="1">
      <c r="A69" s="2"/>
      <c r="B69" s="13"/>
      <c r="C69" s="2"/>
      <c r="D69" s="2"/>
      <c r="E69" s="114"/>
      <c r="F69" s="2"/>
      <c r="G69" s="2"/>
      <c r="H69" s="113" t="s">
        <v>83</v>
      </c>
      <c r="I69" s="113" t="s">
        <v>31</v>
      </c>
      <c r="J69" s="113" t="s">
        <v>32</v>
      </c>
      <c r="K69" s="113" t="s">
        <v>96</v>
      </c>
      <c r="L69" s="113" t="s">
        <v>94</v>
      </c>
      <c r="M69" s="319" t="s">
        <v>83</v>
      </c>
      <c r="N69" s="113" t="s">
        <v>31</v>
      </c>
      <c r="O69" s="113" t="s">
        <v>32</v>
      </c>
      <c r="P69" s="113" t="s">
        <v>96</v>
      </c>
      <c r="Q69" s="113" t="s">
        <v>94</v>
      </c>
      <c r="R69" s="113"/>
      <c r="S69" s="49"/>
      <c r="T69" s="321"/>
      <c r="V69" s="1231"/>
      <c r="W69" s="1232"/>
      <c r="X69" s="1174"/>
    </row>
    <row r="70" spans="1:24" ht="11.15" customHeight="1">
      <c r="A70" s="2"/>
      <c r="B70" s="13"/>
      <c r="C70" s="2"/>
      <c r="D70" s="734"/>
      <c r="E70" s="734"/>
      <c r="F70" s="740" t="s">
        <v>201</v>
      </c>
      <c r="G70" s="2"/>
      <c r="H70" s="397"/>
      <c r="I70" s="398"/>
      <c r="J70" s="399"/>
      <c r="K70" s="400"/>
      <c r="L70" s="337">
        <f>IFERROR($E$67*H70*I70/J70*K70,0)</f>
        <v>0</v>
      </c>
      <c r="M70" s="402"/>
      <c r="N70" s="398"/>
      <c r="O70" s="399"/>
      <c r="P70" s="400"/>
      <c r="Q70" s="115">
        <f>IFERROR($E$67*M70*N70/O70*P70,0)</f>
        <v>0</v>
      </c>
      <c r="R70" s="342"/>
      <c r="S70" s="49"/>
      <c r="T70" s="321"/>
      <c r="V70" s="1200"/>
      <c r="W70" s="1201"/>
      <c r="X70" s="1202"/>
    </row>
    <row r="71" spans="1:24" ht="11.15" customHeight="1">
      <c r="B71" s="13"/>
      <c r="C71" s="2"/>
      <c r="D71" s="735"/>
      <c r="E71" s="735"/>
      <c r="F71" s="741" t="s">
        <v>202</v>
      </c>
      <c r="G71" s="2"/>
      <c r="H71" s="401"/>
      <c r="I71" s="398"/>
      <c r="J71" s="399"/>
      <c r="K71" s="400"/>
      <c r="L71" s="337">
        <f>IFERROR($E$67*H71*I71/J71*K71,0)</f>
        <v>0</v>
      </c>
      <c r="M71" s="403"/>
      <c r="N71" s="398"/>
      <c r="O71" s="399"/>
      <c r="P71" s="400"/>
      <c r="Q71" s="115">
        <f t="shared" ref="Q71:Q81" si="0">IFERROR($E$67*M71*N71/O71*P71,0)</f>
        <v>0</v>
      </c>
      <c r="R71" s="342"/>
      <c r="S71" s="49"/>
      <c r="T71" s="321"/>
      <c r="V71" s="1200"/>
      <c r="W71" s="1201"/>
      <c r="X71" s="1202"/>
    </row>
    <row r="72" spans="1:24" ht="11.5" customHeight="1">
      <c r="B72" s="13"/>
      <c r="C72" s="2"/>
      <c r="D72" s="735"/>
      <c r="E72" s="735"/>
      <c r="F72" s="741" t="s">
        <v>203</v>
      </c>
      <c r="G72" s="2"/>
      <c r="H72" s="401"/>
      <c r="I72" s="398"/>
      <c r="J72" s="399"/>
      <c r="K72" s="400"/>
      <c r="L72" s="337">
        <f>IFERROR($E$67*H72*I72/J72*K72,0)</f>
        <v>0</v>
      </c>
      <c r="M72" s="403"/>
      <c r="N72" s="398"/>
      <c r="O72" s="399"/>
      <c r="P72" s="400"/>
      <c r="Q72" s="115">
        <f t="shared" si="0"/>
        <v>0</v>
      </c>
      <c r="R72" s="342"/>
      <c r="S72" s="49"/>
      <c r="T72" s="321"/>
      <c r="V72" s="1200"/>
      <c r="W72" s="1201"/>
      <c r="X72" s="1202"/>
    </row>
    <row r="73" spans="1:24">
      <c r="B73" s="13"/>
      <c r="C73" s="2"/>
      <c r="D73" s="735"/>
      <c r="E73" s="735"/>
      <c r="F73" s="741"/>
      <c r="G73" s="2"/>
      <c r="H73" s="401"/>
      <c r="I73" s="398"/>
      <c r="J73" s="399"/>
      <c r="K73" s="400"/>
      <c r="L73" s="337">
        <f t="shared" ref="L73:L81" si="1">IFERROR($E$67*H73*I73/J73*K73,0)</f>
        <v>0</v>
      </c>
      <c r="M73" s="403"/>
      <c r="N73" s="398"/>
      <c r="O73" s="399"/>
      <c r="P73" s="400"/>
      <c r="Q73" s="115">
        <f t="shared" si="0"/>
        <v>0</v>
      </c>
      <c r="R73" s="342"/>
      <c r="S73" s="49"/>
      <c r="T73" s="321"/>
      <c r="V73" s="1200"/>
      <c r="W73" s="1201"/>
      <c r="X73" s="1202"/>
    </row>
    <row r="74" spans="1:24">
      <c r="B74" s="13"/>
      <c r="C74" s="2"/>
      <c r="D74" s="736"/>
      <c r="E74" s="737"/>
      <c r="F74" s="741"/>
      <c r="G74" s="2"/>
      <c r="H74" s="401"/>
      <c r="I74" s="398"/>
      <c r="J74" s="399"/>
      <c r="K74" s="400"/>
      <c r="L74" s="337">
        <f t="shared" si="1"/>
        <v>0</v>
      </c>
      <c r="M74" s="403"/>
      <c r="N74" s="398"/>
      <c r="O74" s="399"/>
      <c r="P74" s="400"/>
      <c r="Q74" s="115">
        <f t="shared" si="0"/>
        <v>0</v>
      </c>
      <c r="R74" s="342"/>
      <c r="S74" s="49"/>
      <c r="T74" s="321"/>
      <c r="V74" s="1200"/>
      <c r="W74" s="1201"/>
      <c r="X74" s="1202"/>
    </row>
    <row r="75" spans="1:24">
      <c r="B75" s="13"/>
      <c r="C75" s="2"/>
      <c r="D75" s="736"/>
      <c r="E75" s="737"/>
      <c r="F75" s="741"/>
      <c r="G75" s="2"/>
      <c r="H75" s="401"/>
      <c r="I75" s="398"/>
      <c r="J75" s="399"/>
      <c r="K75" s="400"/>
      <c r="L75" s="337">
        <f t="shared" si="1"/>
        <v>0</v>
      </c>
      <c r="M75" s="403"/>
      <c r="N75" s="398"/>
      <c r="O75" s="399"/>
      <c r="P75" s="400"/>
      <c r="Q75" s="115">
        <f t="shared" si="0"/>
        <v>0</v>
      </c>
      <c r="R75" s="342"/>
      <c r="S75" s="49"/>
      <c r="T75" s="321"/>
      <c r="V75" s="1200"/>
      <c r="W75" s="1201"/>
      <c r="X75" s="1202"/>
    </row>
    <row r="76" spans="1:24">
      <c r="B76" s="13"/>
      <c r="C76" s="2"/>
      <c r="D76" s="736"/>
      <c r="E76" s="737"/>
      <c r="F76" s="741"/>
      <c r="G76" s="2"/>
      <c r="H76" s="401"/>
      <c r="I76" s="398"/>
      <c r="J76" s="399"/>
      <c r="K76" s="400"/>
      <c r="L76" s="337">
        <f t="shared" si="1"/>
        <v>0</v>
      </c>
      <c r="M76" s="403"/>
      <c r="N76" s="398"/>
      <c r="O76" s="399"/>
      <c r="P76" s="400"/>
      <c r="Q76" s="115">
        <f t="shared" si="0"/>
        <v>0</v>
      </c>
      <c r="R76" s="342"/>
      <c r="S76" s="49"/>
      <c r="T76" s="321"/>
      <c r="V76" s="1200"/>
      <c r="W76" s="1201"/>
      <c r="X76" s="1202"/>
    </row>
    <row r="77" spans="1:24">
      <c r="B77" s="13"/>
      <c r="C77" s="2"/>
      <c r="D77" s="736"/>
      <c r="E77" s="737"/>
      <c r="F77" s="741"/>
      <c r="G77" s="2"/>
      <c r="H77" s="401"/>
      <c r="I77" s="398"/>
      <c r="J77" s="399"/>
      <c r="K77" s="400"/>
      <c r="L77" s="337">
        <f t="shared" si="1"/>
        <v>0</v>
      </c>
      <c r="M77" s="403"/>
      <c r="N77" s="398"/>
      <c r="O77" s="399"/>
      <c r="P77" s="400"/>
      <c r="Q77" s="115">
        <f t="shared" si="0"/>
        <v>0</v>
      </c>
      <c r="R77" s="342"/>
      <c r="S77" s="49"/>
      <c r="T77" s="321"/>
      <c r="V77" s="1200"/>
      <c r="W77" s="1201"/>
      <c r="X77" s="1202"/>
    </row>
    <row r="78" spans="1:24">
      <c r="B78" s="13"/>
      <c r="C78" s="2"/>
      <c r="D78" s="736"/>
      <c r="E78" s="737"/>
      <c r="F78" s="741"/>
      <c r="G78" s="2"/>
      <c r="H78" s="401"/>
      <c r="I78" s="398"/>
      <c r="J78" s="399"/>
      <c r="K78" s="400"/>
      <c r="L78" s="337">
        <f t="shared" si="1"/>
        <v>0</v>
      </c>
      <c r="M78" s="403"/>
      <c r="N78" s="398"/>
      <c r="O78" s="399"/>
      <c r="P78" s="400"/>
      <c r="Q78" s="115">
        <f t="shared" si="0"/>
        <v>0</v>
      </c>
      <c r="R78" s="342"/>
      <c r="S78" s="49"/>
      <c r="T78" s="321"/>
      <c r="V78" s="1200"/>
      <c r="W78" s="1201"/>
      <c r="X78" s="1202"/>
    </row>
    <row r="79" spans="1:24">
      <c r="B79" s="13"/>
      <c r="C79" s="2"/>
      <c r="D79" s="736"/>
      <c r="E79" s="737"/>
      <c r="F79" s="741"/>
      <c r="G79" s="2"/>
      <c r="H79" s="401"/>
      <c r="I79" s="398"/>
      <c r="J79" s="399"/>
      <c r="K79" s="400"/>
      <c r="L79" s="337">
        <f t="shared" si="1"/>
        <v>0</v>
      </c>
      <c r="M79" s="403"/>
      <c r="N79" s="398"/>
      <c r="O79" s="399"/>
      <c r="P79" s="400"/>
      <c r="Q79" s="115">
        <f t="shared" si="0"/>
        <v>0</v>
      </c>
      <c r="R79" s="342"/>
      <c r="S79" s="49"/>
      <c r="T79" s="321"/>
      <c r="V79" s="1200"/>
      <c r="W79" s="1201"/>
      <c r="X79" s="1202"/>
    </row>
    <row r="80" spans="1:24">
      <c r="B80" s="13"/>
      <c r="C80" s="2"/>
      <c r="D80" s="736"/>
      <c r="E80" s="737"/>
      <c r="F80" s="741"/>
      <c r="G80" s="2"/>
      <c r="H80" s="401"/>
      <c r="I80" s="398"/>
      <c r="J80" s="399"/>
      <c r="K80" s="400"/>
      <c r="L80" s="337">
        <f t="shared" si="1"/>
        <v>0</v>
      </c>
      <c r="M80" s="403"/>
      <c r="N80" s="398"/>
      <c r="O80" s="399"/>
      <c r="P80" s="400"/>
      <c r="Q80" s="115">
        <f t="shared" si="0"/>
        <v>0</v>
      </c>
      <c r="R80" s="342"/>
      <c r="S80" s="49"/>
      <c r="T80" s="321"/>
      <c r="V80" s="1200"/>
      <c r="W80" s="1201"/>
      <c r="X80" s="1202"/>
    </row>
    <row r="81" spans="1:24">
      <c r="B81" s="13"/>
      <c r="C81" s="2"/>
      <c r="D81" s="738"/>
      <c r="E81" s="739"/>
      <c r="F81" s="742"/>
      <c r="G81" s="2"/>
      <c r="H81" s="401"/>
      <c r="I81" s="398"/>
      <c r="J81" s="399"/>
      <c r="K81" s="400"/>
      <c r="L81" s="337">
        <f t="shared" si="1"/>
        <v>0</v>
      </c>
      <c r="M81" s="403"/>
      <c r="N81" s="398"/>
      <c r="O81" s="399"/>
      <c r="P81" s="400"/>
      <c r="Q81" s="115">
        <f t="shared" si="0"/>
        <v>0</v>
      </c>
      <c r="R81" s="342"/>
      <c r="S81" s="49"/>
      <c r="T81" s="321"/>
      <c r="V81" s="1200"/>
      <c r="W81" s="1201"/>
      <c r="X81" s="1202"/>
    </row>
    <row r="82" spans="1:24">
      <c r="B82" s="13"/>
      <c r="C82" s="2"/>
      <c r="D82" s="2"/>
      <c r="E82" s="2"/>
      <c r="F82" s="2"/>
      <c r="G82" s="2"/>
      <c r="H82" s="49"/>
      <c r="I82" s="2"/>
      <c r="J82" s="49"/>
      <c r="L82" s="49"/>
      <c r="M82" s="335"/>
      <c r="N82" s="49"/>
      <c r="O82" s="49"/>
      <c r="P82" s="49"/>
      <c r="Q82" s="49"/>
      <c r="R82" s="49"/>
      <c r="S82" s="208" t="s">
        <v>99</v>
      </c>
      <c r="T82" s="321"/>
      <c r="V82" s="1231"/>
      <c r="W82" s="1232"/>
      <c r="X82" s="1174"/>
    </row>
    <row r="83" spans="1:24" ht="12" customHeight="1">
      <c r="B83" s="13"/>
      <c r="C83" s="2"/>
      <c r="D83" s="236" t="s">
        <v>182</v>
      </c>
      <c r="E83" s="2"/>
      <c r="F83" s="2"/>
      <c r="G83" s="2"/>
      <c r="H83" s="49"/>
      <c r="I83" s="2"/>
      <c r="K83" s="116" t="s">
        <v>196</v>
      </c>
      <c r="L83" s="412"/>
      <c r="M83" s="336"/>
      <c r="N83" s="1"/>
      <c r="O83" s="1"/>
      <c r="P83" s="116" t="s">
        <v>196</v>
      </c>
      <c r="Q83" s="413"/>
      <c r="R83" s="343"/>
      <c r="S83" s="208" t="s">
        <v>98</v>
      </c>
      <c r="T83" s="321"/>
      <c r="V83" s="1231"/>
      <c r="W83" s="1232"/>
      <c r="X83" s="1174"/>
    </row>
    <row r="84" spans="1:24" ht="12" customHeight="1">
      <c r="B84" s="13"/>
      <c r="C84" s="2"/>
      <c r="D84" s="236" t="s">
        <v>183</v>
      </c>
      <c r="E84" s="408"/>
      <c r="F84" s="2"/>
      <c r="G84" s="2"/>
      <c r="H84" s="49"/>
      <c r="I84" s="2"/>
      <c r="J84" s="49"/>
      <c r="K84" s="435" t="s">
        <v>26</v>
      </c>
      <c r="L84" s="334">
        <f>IF(L83=0,SUM(L70:L81),L83)</f>
        <v>0</v>
      </c>
      <c r="M84" s="336"/>
      <c r="N84" s="1"/>
      <c r="O84" s="1"/>
      <c r="P84" s="435" t="s">
        <v>26</v>
      </c>
      <c r="Q84" s="118">
        <f>IF(Q83=0,SUM(Q70:Q81),Q83)</f>
        <v>0</v>
      </c>
      <c r="R84" s="344"/>
      <c r="S84" s="118">
        <f>L84+Q84*'HAW-Kennwerte'!$R$30</f>
        <v>0</v>
      </c>
      <c r="T84" s="321"/>
      <c r="V84" s="1200"/>
      <c r="W84" s="1201"/>
      <c r="X84" s="1202"/>
    </row>
    <row r="85" spans="1:24" ht="10.5">
      <c r="B85" s="13"/>
      <c r="C85" s="2"/>
      <c r="D85" s="2"/>
      <c r="E85" s="2"/>
      <c r="F85" s="2"/>
      <c r="G85" s="2"/>
      <c r="H85" s="49"/>
      <c r="I85" s="2"/>
      <c r="J85" s="49"/>
      <c r="K85" s="242"/>
      <c r="L85" s="2"/>
      <c r="M85" s="336"/>
      <c r="N85" s="1"/>
      <c r="O85" s="1"/>
      <c r="P85" s="49"/>
      <c r="Q85" s="242"/>
      <c r="R85" s="242"/>
      <c r="S85" s="242"/>
      <c r="T85" s="321"/>
      <c r="V85" s="1231"/>
      <c r="W85" s="1232"/>
      <c r="X85" s="1174"/>
    </row>
    <row r="86" spans="1:24" ht="12" customHeight="1">
      <c r="B86" s="13"/>
      <c r="C86" s="2"/>
      <c r="D86" s="716" t="s">
        <v>194</v>
      </c>
      <c r="E86" s="745" t="s">
        <v>195</v>
      </c>
      <c r="F86" s="2"/>
      <c r="G86" s="2"/>
      <c r="I86" s="2"/>
      <c r="J86" s="208"/>
      <c r="K86" s="242"/>
      <c r="L86" s="204"/>
      <c r="M86" s="204"/>
      <c r="N86" s="203"/>
      <c r="O86" s="203"/>
      <c r="P86" s="791"/>
      <c r="Q86" s="202"/>
      <c r="R86" s="607"/>
      <c r="S86" s="607"/>
      <c r="T86" s="321"/>
      <c r="V86" s="1231"/>
      <c r="W86" s="1232"/>
      <c r="X86" s="1174"/>
    </row>
    <row r="87" spans="1:24" ht="12" customHeight="1">
      <c r="B87" s="13"/>
      <c r="C87" s="2"/>
      <c r="D87" s="2"/>
      <c r="E87" s="2"/>
      <c r="F87" s="2"/>
      <c r="G87" s="2"/>
      <c r="H87" s="49"/>
      <c r="I87" s="2"/>
      <c r="J87" s="202"/>
      <c r="K87" s="206">
        <f>IF($Q$87&gt;2023,$Q$87-6,"")</f>
        <v>2019</v>
      </c>
      <c r="L87" s="206">
        <f>IF($Q$87&gt;2023,$Q$87-5,"")</f>
        <v>2020</v>
      </c>
      <c r="M87" s="206">
        <f>IF($Q$87&gt;2023,$Q$87-4,"")</f>
        <v>2021</v>
      </c>
      <c r="N87" s="206">
        <f>IF($Q$87&gt;2023,$Q$87-3,"")</f>
        <v>2022</v>
      </c>
      <c r="O87" s="206">
        <f>IF($Q$87&gt;2023,$Q$87-2,"")</f>
        <v>2023</v>
      </c>
      <c r="P87" s="206">
        <f>IF($Q$87&gt;2023,$Q$87-1,"")</f>
        <v>2024</v>
      </c>
      <c r="Q87" s="717">
        <v>2025</v>
      </c>
      <c r="R87" s="50"/>
      <c r="S87" s="202"/>
      <c r="T87" s="321"/>
      <c r="V87" s="1231"/>
      <c r="W87" s="1232"/>
      <c r="X87" s="1174"/>
    </row>
    <row r="88" spans="1:24" ht="12" customHeight="1">
      <c r="B88" s="13"/>
      <c r="C88" s="2"/>
      <c r="D88" s="2"/>
      <c r="E88" s="2"/>
      <c r="F88" s="2"/>
      <c r="G88" s="2"/>
      <c r="H88" s="49"/>
      <c r="I88" s="2"/>
      <c r="J88" s="435" t="s">
        <v>245</v>
      </c>
      <c r="K88" s="816"/>
      <c r="L88" s="816"/>
      <c r="M88" s="816"/>
      <c r="N88" s="816"/>
      <c r="O88" s="816"/>
      <c r="P88" s="816"/>
      <c r="Q88" s="816"/>
      <c r="R88" s="50"/>
      <c r="S88" s="744">
        <f>IF(S89&gt;0,IF(S89&gt;1,0,S89),IFERROR(IF((K88*3+L88*4+M88*5+N88*6+O88*7+P88*8+Q88*9)/42&gt;1,1,(K88*3+L88*4+M88*5+N88*6+O88*7+P88*8+Q88*9)/42),""))</f>
        <v>0</v>
      </c>
      <c r="T88" s="321"/>
      <c r="V88" s="1233"/>
      <c r="W88" s="1234"/>
      <c r="X88" s="1235"/>
    </row>
    <row r="89" spans="1:24" ht="12" customHeight="1">
      <c r="B89" s="13"/>
      <c r="C89" s="2"/>
      <c r="D89" s="2"/>
      <c r="E89" s="2"/>
      <c r="F89" s="2"/>
      <c r="G89" s="2"/>
      <c r="H89" s="49"/>
      <c r="I89" s="2"/>
      <c r="J89" s="208"/>
      <c r="K89" s="743" t="s">
        <v>246</v>
      </c>
      <c r="L89" s="203"/>
      <c r="M89" s="203"/>
      <c r="N89" s="203"/>
      <c r="O89" s="203"/>
      <c r="P89" s="607"/>
      <c r="Q89" s="202"/>
      <c r="R89" s="50"/>
      <c r="S89" s="1187"/>
      <c r="T89" s="321"/>
    </row>
    <row r="90" spans="1:24">
      <c r="B90" s="45"/>
      <c r="C90" s="46"/>
      <c r="D90" s="46"/>
      <c r="E90" s="46"/>
      <c r="F90" s="46"/>
      <c r="G90" s="46"/>
      <c r="H90" s="46"/>
      <c r="I90" s="46"/>
      <c r="J90" s="119"/>
      <c r="K90" s="46"/>
      <c r="L90" s="119"/>
      <c r="M90" s="46"/>
      <c r="N90" s="119"/>
      <c r="O90" s="230"/>
      <c r="P90" s="119"/>
      <c r="Q90" s="119"/>
      <c r="R90" s="119"/>
      <c r="S90" s="119"/>
      <c r="T90" s="322"/>
    </row>
    <row r="91" spans="1:24">
      <c r="B91" s="12" t="s">
        <v>100</v>
      </c>
      <c r="H91" s="2"/>
      <c r="I91" s="2"/>
      <c r="J91" s="49"/>
      <c r="K91" s="2"/>
      <c r="L91" s="49"/>
      <c r="M91" s="2"/>
      <c r="N91" s="49"/>
      <c r="O91" s="49"/>
      <c r="P91" s="49"/>
      <c r="Q91" s="49"/>
      <c r="R91" s="49"/>
      <c r="S91" s="49"/>
      <c r="T91" s="121"/>
    </row>
    <row r="92" spans="1:24">
      <c r="A92" s="106"/>
      <c r="B92" s="209" t="s">
        <v>68</v>
      </c>
      <c r="C92" s="106"/>
      <c r="D92" s="106"/>
      <c r="E92" s="106"/>
      <c r="F92" s="106"/>
      <c r="G92" s="106"/>
      <c r="H92" s="106"/>
      <c r="I92" s="106"/>
      <c r="J92" s="107"/>
      <c r="K92" s="106"/>
      <c r="L92" s="107"/>
      <c r="M92" s="106"/>
      <c r="N92" s="107"/>
      <c r="O92" s="107"/>
      <c r="P92" s="107"/>
      <c r="Q92" s="107"/>
      <c r="R92" s="107"/>
      <c r="S92" s="107"/>
      <c r="T92" s="107"/>
    </row>
    <row r="93" spans="1:24">
      <c r="Q93" s="201"/>
      <c r="R93" s="201"/>
      <c r="S93" s="201" t="str">
        <f>HAW!B28</f>
        <v>Kennwertverfahren NRW für HAW; HIS-Institut für Hochschulentwicklung e.V. (24.04.2026)</v>
      </c>
      <c r="T93" s="201"/>
    </row>
    <row r="95" spans="1:24">
      <c r="B95" s="229"/>
      <c r="C95" s="202"/>
    </row>
    <row r="96" spans="1:24" ht="10.5">
      <c r="B96" s="794" t="str">
        <f>IF(B8=0,B7,CONCATENATE(B7,B8))</f>
        <v>Hochschule …</v>
      </c>
      <c r="C96" s="795"/>
      <c r="D96" s="795"/>
      <c r="E96" s="795"/>
      <c r="F96" s="795"/>
      <c r="G96" s="795"/>
      <c r="H96" s="795"/>
      <c r="I96" s="795"/>
      <c r="J96" s="796"/>
      <c r="K96" s="795"/>
      <c r="L96" s="796"/>
      <c r="M96" s="795"/>
      <c r="N96" s="796"/>
      <c r="O96" s="796"/>
      <c r="P96" s="796"/>
      <c r="Q96" s="796"/>
      <c r="R96" s="796"/>
      <c r="S96" s="796"/>
    </row>
    <row r="97" spans="2:19">
      <c r="B97" s="795" t="str">
        <f>B9</f>
        <v>[Fakultät/Fachbereich]</v>
      </c>
      <c r="C97" s="795"/>
      <c r="D97" s="795"/>
      <c r="E97" s="795"/>
      <c r="F97" s="795"/>
      <c r="G97" s="795"/>
      <c r="H97" s="795"/>
      <c r="I97" s="795"/>
      <c r="J97" s="796"/>
      <c r="K97" s="795"/>
      <c r="L97" s="796"/>
      <c r="M97" s="795"/>
      <c r="N97" s="796"/>
      <c r="O97" s="796"/>
      <c r="P97" s="796"/>
      <c r="Q97" s="796"/>
      <c r="R97" s="796"/>
      <c r="S97" s="796"/>
    </row>
    <row r="98" spans="2:19">
      <c r="B98" s="795" t="str">
        <f>B10</f>
        <v>[Department, Institut o.a.]</v>
      </c>
      <c r="C98" s="795"/>
      <c r="D98" s="795"/>
      <c r="E98" s="795"/>
      <c r="F98" s="795"/>
      <c r="G98" s="795"/>
      <c r="H98" s="795"/>
      <c r="I98" s="795"/>
      <c r="J98" s="796"/>
      <c r="K98" s="795"/>
      <c r="L98" s="796"/>
      <c r="M98" s="795"/>
      <c r="N98" s="796"/>
      <c r="O98" s="796"/>
      <c r="P98" s="796"/>
      <c r="Q98" s="796"/>
      <c r="R98" s="796"/>
      <c r="S98" s="796"/>
    </row>
    <row r="99" spans="2:19">
      <c r="B99" s="795" t="str">
        <f>CONCATENATE(B12,": ",B13)</f>
        <v>Lehr- und Forschungsbereich: Design, Gestaltung</v>
      </c>
      <c r="C99" s="795"/>
      <c r="D99" s="795"/>
      <c r="E99" s="795"/>
      <c r="F99" s="795"/>
      <c r="G99" s="795"/>
      <c r="H99" s="795"/>
      <c r="I99" s="795"/>
      <c r="J99" s="796"/>
      <c r="K99" s="795"/>
      <c r="L99" s="796"/>
      <c r="M99" s="795"/>
      <c r="N99" s="796"/>
      <c r="O99" s="796"/>
      <c r="P99" s="796"/>
      <c r="Q99" s="796"/>
      <c r="R99" s="796"/>
      <c r="S99" s="796"/>
    </row>
    <row r="100" spans="2:19">
      <c r="B100" s="202"/>
      <c r="C100" s="202"/>
      <c r="D100" s="202"/>
      <c r="E100" s="202"/>
      <c r="F100" s="202"/>
      <c r="G100" s="202"/>
      <c r="H100" s="202"/>
      <c r="I100" s="202"/>
      <c r="J100" s="607"/>
      <c r="K100" s="202"/>
      <c r="L100" s="607"/>
      <c r="M100" s="202"/>
      <c r="N100" s="607"/>
      <c r="O100" s="607"/>
      <c r="P100" s="607"/>
      <c r="Q100" s="607"/>
      <c r="R100" s="607"/>
      <c r="S100" s="607"/>
    </row>
    <row r="101" spans="2:19">
      <c r="B101" s="110" t="s">
        <v>235</v>
      </c>
      <c r="C101" s="206"/>
      <c r="D101" s="206"/>
      <c r="E101" s="206"/>
      <c r="F101" s="206"/>
      <c r="G101" s="206"/>
      <c r="H101" s="206"/>
      <c r="I101" s="206"/>
      <c r="J101" s="208"/>
      <c r="K101" s="206"/>
      <c r="L101" s="208"/>
      <c r="M101" s="206"/>
      <c r="N101" s="208"/>
      <c r="O101" s="208"/>
      <c r="P101" s="208"/>
      <c r="Q101" s="208"/>
      <c r="R101" s="208"/>
      <c r="S101" s="208"/>
    </row>
    <row r="102" spans="2:19">
      <c r="B102" s="909"/>
      <c r="C102" s="910"/>
      <c r="D102" s="910"/>
      <c r="E102" s="910"/>
      <c r="F102" s="910"/>
      <c r="G102" s="910"/>
      <c r="H102" s="910"/>
      <c r="I102" s="910"/>
      <c r="J102" s="544"/>
      <c r="K102" s="910"/>
      <c r="L102" s="544"/>
      <c r="M102" s="910"/>
      <c r="N102" s="544"/>
      <c r="O102" s="544"/>
      <c r="P102" s="544"/>
      <c r="Q102" s="544"/>
      <c r="R102" s="544"/>
      <c r="S102" s="1173"/>
    </row>
    <row r="103" spans="2:19" ht="10.5">
      <c r="B103" s="210"/>
      <c r="C103" s="206"/>
      <c r="D103" s="206"/>
      <c r="E103" s="206"/>
      <c r="F103" s="206"/>
      <c r="G103" s="1166" t="s">
        <v>249</v>
      </c>
      <c r="H103" s="797">
        <f>SUM(H107:H156)</f>
        <v>0</v>
      </c>
      <c r="I103" s="206"/>
      <c r="J103" s="208"/>
      <c r="K103" s="206"/>
      <c r="L103" s="208"/>
      <c r="M103" s="206"/>
      <c r="N103" s="208"/>
      <c r="O103" s="1166" t="s">
        <v>256</v>
      </c>
      <c r="P103" s="1353">
        <f>SUMPRODUCT(H107:H156,P107:P156)+SUMPRODUCT(H107:H156,Q107:Q156)</f>
        <v>0</v>
      </c>
      <c r="Q103" s="1354"/>
      <c r="R103" s="208"/>
      <c r="S103" s="1174"/>
    </row>
    <row r="104" spans="2:19">
      <c r="B104" s="210"/>
      <c r="C104" s="206"/>
      <c r="D104" s="206"/>
      <c r="E104" s="206"/>
      <c r="F104" s="206"/>
      <c r="G104" s="207"/>
      <c r="H104" s="798"/>
      <c r="I104" s="206"/>
      <c r="J104" s="208"/>
      <c r="K104" s="206"/>
      <c r="L104" s="208"/>
      <c r="M104" s="206"/>
      <c r="N104" s="208"/>
      <c r="O104" s="207"/>
      <c r="P104" s="799" t="str">
        <f>IF($P103=0,"",SUMPRODUCT($H107:$H156,P107:P156)/$P103)</f>
        <v/>
      </c>
      <c r="Q104" s="799" t="str">
        <f>IF($P103=0,"",SUMPRODUCT($H107:$H156,Q107:Q156)/$P103)</f>
        <v/>
      </c>
      <c r="R104" s="208"/>
      <c r="S104" s="1174"/>
    </row>
    <row r="105" spans="2:19" ht="10.5">
      <c r="B105" s="210"/>
      <c r="C105" s="206"/>
      <c r="D105" s="206"/>
      <c r="E105" s="206"/>
      <c r="F105" s="206"/>
      <c r="G105" s="206"/>
      <c r="H105" s="206"/>
      <c r="I105" s="206"/>
      <c r="J105" s="208"/>
      <c r="K105" s="206"/>
      <c r="L105" s="208"/>
      <c r="M105" s="206"/>
      <c r="N105" s="208"/>
      <c r="O105" s="208"/>
      <c r="P105" s="1355"/>
      <c r="Q105" s="1355"/>
      <c r="R105" s="208"/>
      <c r="S105" s="1174"/>
    </row>
    <row r="106" spans="2:19" ht="10.5">
      <c r="B106" s="1175" t="s">
        <v>250</v>
      </c>
      <c r="C106" s="800" t="s">
        <v>251</v>
      </c>
      <c r="D106" s="238"/>
      <c r="E106" s="238"/>
      <c r="F106" s="238"/>
      <c r="G106" s="238"/>
      <c r="H106" s="239" t="s">
        <v>252</v>
      </c>
      <c r="I106" s="238" t="s">
        <v>253</v>
      </c>
      <c r="J106" s="238"/>
      <c r="K106" s="239"/>
      <c r="L106" s="238"/>
      <c r="M106" s="239"/>
      <c r="N106" s="208"/>
      <c r="O106" s="801" t="s">
        <v>88</v>
      </c>
      <c r="P106" s="239" t="s">
        <v>84</v>
      </c>
      <c r="Q106" s="239" t="s">
        <v>85</v>
      </c>
      <c r="R106" s="208"/>
      <c r="S106" s="1174"/>
    </row>
    <row r="107" spans="2:19">
      <c r="B107" s="210" t="str">
        <f>IF(COUNTA(C107)=1,1,"")</f>
        <v/>
      </c>
      <c r="C107" s="802"/>
      <c r="D107" s="803"/>
      <c r="E107" s="803"/>
      <c r="F107" s="803"/>
      <c r="G107" s="803"/>
      <c r="H107" s="804"/>
      <c r="I107" s="802"/>
      <c r="J107" s="803"/>
      <c r="K107" s="803"/>
      <c r="L107" s="803"/>
      <c r="M107" s="803"/>
      <c r="N107" s="803"/>
      <c r="O107" s="805"/>
      <c r="P107" s="806"/>
      <c r="Q107" s="806"/>
      <c r="R107" s="807">
        <f>SUM(O107:Q107)</f>
        <v>0</v>
      </c>
      <c r="S107" s="1174"/>
    </row>
    <row r="108" spans="2:19">
      <c r="B108" s="210" t="str">
        <f>IF(COUNTA(C108)=1,MAX(B$107:B107)+1,"")</f>
        <v/>
      </c>
      <c r="C108" s="808"/>
      <c r="D108" s="809"/>
      <c r="E108" s="809"/>
      <c r="F108" s="809"/>
      <c r="G108" s="809"/>
      <c r="H108" s="810"/>
      <c r="I108" s="808"/>
      <c r="J108" s="809"/>
      <c r="K108" s="809"/>
      <c r="L108" s="809"/>
      <c r="M108" s="809"/>
      <c r="N108" s="809"/>
      <c r="O108" s="811"/>
      <c r="P108" s="812"/>
      <c r="Q108" s="812"/>
      <c r="R108" s="807">
        <f t="shared" ref="R108:R156" si="2">SUM(O108:Q108)</f>
        <v>0</v>
      </c>
      <c r="S108" s="1174"/>
    </row>
    <row r="109" spans="2:19">
      <c r="B109" s="210" t="str">
        <f>IF(COUNTA(C109)=1,MAX(B$107:B108)+1,"")</f>
        <v/>
      </c>
      <c r="C109" s="808"/>
      <c r="D109" s="809"/>
      <c r="E109" s="809"/>
      <c r="F109" s="809"/>
      <c r="G109" s="809"/>
      <c r="H109" s="810"/>
      <c r="I109" s="808"/>
      <c r="J109" s="809"/>
      <c r="K109" s="809"/>
      <c r="L109" s="809"/>
      <c r="M109" s="809"/>
      <c r="N109" s="809"/>
      <c r="O109" s="811"/>
      <c r="P109" s="812"/>
      <c r="Q109" s="812"/>
      <c r="R109" s="807">
        <f t="shared" si="2"/>
        <v>0</v>
      </c>
      <c r="S109" s="1174"/>
    </row>
    <row r="110" spans="2:19">
      <c r="B110" s="210" t="str">
        <f>IF(COUNTA(C110)=1,MAX(B$107:B109)+1,"")</f>
        <v/>
      </c>
      <c r="C110" s="808"/>
      <c r="D110" s="809"/>
      <c r="E110" s="809"/>
      <c r="F110" s="809"/>
      <c r="G110" s="809"/>
      <c r="H110" s="810"/>
      <c r="I110" s="808"/>
      <c r="J110" s="809"/>
      <c r="K110" s="809"/>
      <c r="L110" s="809"/>
      <c r="M110" s="809"/>
      <c r="N110" s="809"/>
      <c r="O110" s="811"/>
      <c r="P110" s="812"/>
      <c r="Q110" s="812"/>
      <c r="R110" s="807">
        <f t="shared" si="2"/>
        <v>0</v>
      </c>
      <c r="S110" s="1174"/>
    </row>
    <row r="111" spans="2:19">
      <c r="B111" s="210" t="str">
        <f>IF(COUNTA(C111)=1,MAX(B$107:B110)+1,"")</f>
        <v/>
      </c>
      <c r="C111" s="808"/>
      <c r="D111" s="809"/>
      <c r="E111" s="809"/>
      <c r="F111" s="809"/>
      <c r="G111" s="809"/>
      <c r="H111" s="810"/>
      <c r="I111" s="808"/>
      <c r="J111" s="809"/>
      <c r="K111" s="809"/>
      <c r="L111" s="809"/>
      <c r="M111" s="809"/>
      <c r="N111" s="809"/>
      <c r="O111" s="811"/>
      <c r="P111" s="812"/>
      <c r="Q111" s="812"/>
      <c r="R111" s="807">
        <f t="shared" si="2"/>
        <v>0</v>
      </c>
      <c r="S111" s="1174"/>
    </row>
    <row r="112" spans="2:19">
      <c r="B112" s="210" t="str">
        <f>IF(COUNTA(C112)=1,MAX(B$107:B111)+1,"")</f>
        <v/>
      </c>
      <c r="C112" s="808"/>
      <c r="D112" s="809"/>
      <c r="E112" s="809"/>
      <c r="F112" s="809"/>
      <c r="G112" s="809"/>
      <c r="H112" s="810"/>
      <c r="I112" s="808"/>
      <c r="J112" s="809"/>
      <c r="K112" s="809"/>
      <c r="L112" s="809"/>
      <c r="M112" s="809"/>
      <c r="N112" s="809"/>
      <c r="O112" s="811"/>
      <c r="P112" s="812"/>
      <c r="Q112" s="812"/>
      <c r="R112" s="807">
        <f t="shared" si="2"/>
        <v>0</v>
      </c>
      <c r="S112" s="1174"/>
    </row>
    <row r="113" spans="2:19">
      <c r="B113" s="210" t="str">
        <f>IF(COUNTA(C113)=1,MAX(B$107:B112)+1,"")</f>
        <v/>
      </c>
      <c r="C113" s="808"/>
      <c r="D113" s="809"/>
      <c r="E113" s="809"/>
      <c r="F113" s="809"/>
      <c r="G113" s="809"/>
      <c r="H113" s="810"/>
      <c r="I113" s="808"/>
      <c r="J113" s="809"/>
      <c r="K113" s="809"/>
      <c r="L113" s="809"/>
      <c r="M113" s="809"/>
      <c r="N113" s="809"/>
      <c r="O113" s="811"/>
      <c r="P113" s="812"/>
      <c r="Q113" s="812"/>
      <c r="R113" s="807">
        <f t="shared" si="2"/>
        <v>0</v>
      </c>
      <c r="S113" s="1174"/>
    </row>
    <row r="114" spans="2:19">
      <c r="B114" s="210" t="str">
        <f>IF(COUNTA(C114)=1,MAX(B$107:B113)+1,"")</f>
        <v/>
      </c>
      <c r="C114" s="808"/>
      <c r="D114" s="809"/>
      <c r="E114" s="809"/>
      <c r="F114" s="809"/>
      <c r="G114" s="809"/>
      <c r="H114" s="810"/>
      <c r="I114" s="808"/>
      <c r="J114" s="809"/>
      <c r="K114" s="809"/>
      <c r="L114" s="809"/>
      <c r="M114" s="809"/>
      <c r="N114" s="809"/>
      <c r="O114" s="811"/>
      <c r="P114" s="812"/>
      <c r="Q114" s="812"/>
      <c r="R114" s="807">
        <f t="shared" si="2"/>
        <v>0</v>
      </c>
      <c r="S114" s="1174"/>
    </row>
    <row r="115" spans="2:19">
      <c r="B115" s="210" t="str">
        <f>IF(COUNTA(C115)=1,MAX(B$107:B114)+1,"")</f>
        <v/>
      </c>
      <c r="C115" s="808"/>
      <c r="D115" s="809"/>
      <c r="E115" s="809"/>
      <c r="F115" s="809"/>
      <c r="G115" s="809"/>
      <c r="H115" s="810"/>
      <c r="I115" s="808"/>
      <c r="J115" s="809"/>
      <c r="K115" s="809"/>
      <c r="L115" s="809"/>
      <c r="M115" s="809"/>
      <c r="N115" s="809"/>
      <c r="O115" s="811"/>
      <c r="P115" s="812"/>
      <c r="Q115" s="812"/>
      <c r="R115" s="807">
        <f t="shared" si="2"/>
        <v>0</v>
      </c>
      <c r="S115" s="1174"/>
    </row>
    <row r="116" spans="2:19">
      <c r="B116" s="210" t="str">
        <f>IF(COUNTA(C116)=1,MAX(B$107:B115)+1,"")</f>
        <v/>
      </c>
      <c r="C116" s="808"/>
      <c r="D116" s="809"/>
      <c r="E116" s="809"/>
      <c r="F116" s="809"/>
      <c r="G116" s="809"/>
      <c r="H116" s="810"/>
      <c r="I116" s="808"/>
      <c r="J116" s="809"/>
      <c r="K116" s="809"/>
      <c r="L116" s="809"/>
      <c r="M116" s="809"/>
      <c r="N116" s="809"/>
      <c r="O116" s="811"/>
      <c r="P116" s="812"/>
      <c r="Q116" s="812"/>
      <c r="R116" s="807">
        <f t="shared" si="2"/>
        <v>0</v>
      </c>
      <c r="S116" s="1174"/>
    </row>
    <row r="117" spans="2:19">
      <c r="B117" s="210" t="str">
        <f>IF(COUNTA(C117)=1,MAX(B$107:B116)+1,"")</f>
        <v/>
      </c>
      <c r="C117" s="808"/>
      <c r="D117" s="809"/>
      <c r="E117" s="809"/>
      <c r="F117" s="809"/>
      <c r="G117" s="809"/>
      <c r="H117" s="810"/>
      <c r="I117" s="808"/>
      <c r="J117" s="809"/>
      <c r="K117" s="809"/>
      <c r="L117" s="809"/>
      <c r="M117" s="809"/>
      <c r="N117" s="809"/>
      <c r="O117" s="811">
        <v>0</v>
      </c>
      <c r="P117" s="812"/>
      <c r="Q117" s="812">
        <v>0</v>
      </c>
      <c r="R117" s="807">
        <f t="shared" si="2"/>
        <v>0</v>
      </c>
      <c r="S117" s="1174"/>
    </row>
    <row r="118" spans="2:19">
      <c r="B118" s="210" t="str">
        <f>IF(COUNTA(C118)=1,MAX(B$107:B117)+1,"")</f>
        <v/>
      </c>
      <c r="C118" s="808"/>
      <c r="D118" s="809"/>
      <c r="E118" s="809"/>
      <c r="F118" s="809"/>
      <c r="G118" s="809"/>
      <c r="H118" s="810"/>
      <c r="I118" s="808"/>
      <c r="J118" s="809"/>
      <c r="K118" s="809"/>
      <c r="L118" s="809"/>
      <c r="M118" s="809"/>
      <c r="N118" s="809"/>
      <c r="O118" s="811">
        <v>0</v>
      </c>
      <c r="P118" s="812"/>
      <c r="Q118" s="812">
        <v>0</v>
      </c>
      <c r="R118" s="807">
        <f t="shared" si="2"/>
        <v>0</v>
      </c>
      <c r="S118" s="1174"/>
    </row>
    <row r="119" spans="2:19">
      <c r="B119" s="210" t="str">
        <f>IF(COUNTA(C119)=1,MAX(B$107:B118)+1,"")</f>
        <v/>
      </c>
      <c r="C119" s="808"/>
      <c r="D119" s="809"/>
      <c r="E119" s="809"/>
      <c r="F119" s="809"/>
      <c r="G119" s="809"/>
      <c r="H119" s="810"/>
      <c r="I119" s="808"/>
      <c r="J119" s="809"/>
      <c r="K119" s="809"/>
      <c r="L119" s="809"/>
      <c r="M119" s="809"/>
      <c r="N119" s="809"/>
      <c r="O119" s="811">
        <v>0</v>
      </c>
      <c r="P119" s="812"/>
      <c r="Q119" s="812">
        <v>0</v>
      </c>
      <c r="R119" s="807">
        <f t="shared" si="2"/>
        <v>0</v>
      </c>
      <c r="S119" s="1174"/>
    </row>
    <row r="120" spans="2:19">
      <c r="B120" s="210" t="str">
        <f>IF(COUNTA(C120)=1,MAX(B$107:B119)+1,"")</f>
        <v/>
      </c>
      <c r="C120" s="808"/>
      <c r="D120" s="809"/>
      <c r="E120" s="809"/>
      <c r="F120" s="809"/>
      <c r="G120" s="809"/>
      <c r="H120" s="810"/>
      <c r="I120" s="808"/>
      <c r="J120" s="809"/>
      <c r="K120" s="809"/>
      <c r="L120" s="809"/>
      <c r="M120" s="809"/>
      <c r="N120" s="809"/>
      <c r="O120" s="811">
        <v>0</v>
      </c>
      <c r="P120" s="812"/>
      <c r="Q120" s="812">
        <v>0</v>
      </c>
      <c r="R120" s="807">
        <f t="shared" si="2"/>
        <v>0</v>
      </c>
      <c r="S120" s="1174"/>
    </row>
    <row r="121" spans="2:19">
      <c r="B121" s="210" t="str">
        <f>IF(COUNTA(C121)=1,MAX(B$107:B120)+1,"")</f>
        <v/>
      </c>
      <c r="C121" s="808"/>
      <c r="D121" s="809"/>
      <c r="E121" s="809"/>
      <c r="F121" s="809"/>
      <c r="G121" s="809"/>
      <c r="H121" s="810"/>
      <c r="I121" s="808"/>
      <c r="J121" s="809"/>
      <c r="K121" s="809"/>
      <c r="L121" s="809"/>
      <c r="M121" s="809"/>
      <c r="N121" s="809"/>
      <c r="O121" s="811">
        <v>0</v>
      </c>
      <c r="P121" s="812"/>
      <c r="Q121" s="812">
        <v>0</v>
      </c>
      <c r="R121" s="807">
        <f t="shared" si="2"/>
        <v>0</v>
      </c>
      <c r="S121" s="1174"/>
    </row>
    <row r="122" spans="2:19">
      <c r="B122" s="210" t="str">
        <f>IF(COUNTA(C122)=1,MAX(B$107:B121)+1,"")</f>
        <v/>
      </c>
      <c r="C122" s="808"/>
      <c r="D122" s="809"/>
      <c r="E122" s="809"/>
      <c r="F122" s="809"/>
      <c r="G122" s="809"/>
      <c r="H122" s="810"/>
      <c r="I122" s="808"/>
      <c r="J122" s="809"/>
      <c r="K122" s="809"/>
      <c r="L122" s="809"/>
      <c r="M122" s="809"/>
      <c r="N122" s="809"/>
      <c r="O122" s="811">
        <v>0</v>
      </c>
      <c r="P122" s="812"/>
      <c r="Q122" s="812">
        <v>0</v>
      </c>
      <c r="R122" s="807">
        <f t="shared" si="2"/>
        <v>0</v>
      </c>
      <c r="S122" s="1174"/>
    </row>
    <row r="123" spans="2:19">
      <c r="B123" s="210" t="str">
        <f>IF(COUNTA(C123)=1,MAX(B$107:B122)+1,"")</f>
        <v/>
      </c>
      <c r="C123" s="808"/>
      <c r="D123" s="809"/>
      <c r="E123" s="809"/>
      <c r="F123" s="809"/>
      <c r="G123" s="809"/>
      <c r="H123" s="810"/>
      <c r="I123" s="808"/>
      <c r="J123" s="809"/>
      <c r="K123" s="809"/>
      <c r="L123" s="809"/>
      <c r="M123" s="809"/>
      <c r="N123" s="809"/>
      <c r="O123" s="811">
        <v>0</v>
      </c>
      <c r="P123" s="812"/>
      <c r="Q123" s="812">
        <v>0</v>
      </c>
      <c r="R123" s="807">
        <f t="shared" si="2"/>
        <v>0</v>
      </c>
      <c r="S123" s="1174"/>
    </row>
    <row r="124" spans="2:19">
      <c r="B124" s="210" t="str">
        <f>IF(COUNTA(C124)=1,MAX(B$107:B123)+1,"")</f>
        <v/>
      </c>
      <c r="C124" s="808"/>
      <c r="D124" s="809"/>
      <c r="E124" s="809"/>
      <c r="F124" s="809"/>
      <c r="G124" s="809"/>
      <c r="H124" s="810"/>
      <c r="I124" s="808"/>
      <c r="J124" s="809"/>
      <c r="K124" s="809"/>
      <c r="L124" s="809"/>
      <c r="M124" s="809"/>
      <c r="N124" s="809"/>
      <c r="O124" s="811">
        <v>0</v>
      </c>
      <c r="P124" s="812"/>
      <c r="Q124" s="812">
        <v>0</v>
      </c>
      <c r="R124" s="807">
        <f t="shared" si="2"/>
        <v>0</v>
      </c>
      <c r="S124" s="1174"/>
    </row>
    <row r="125" spans="2:19">
      <c r="B125" s="210" t="str">
        <f>IF(COUNTA(C125)=1,MAX(B$107:B124)+1,"")</f>
        <v/>
      </c>
      <c r="C125" s="808"/>
      <c r="D125" s="809"/>
      <c r="E125" s="809"/>
      <c r="F125" s="809"/>
      <c r="G125" s="809"/>
      <c r="H125" s="810"/>
      <c r="I125" s="808"/>
      <c r="J125" s="809"/>
      <c r="K125" s="809"/>
      <c r="L125" s="809"/>
      <c r="M125" s="809"/>
      <c r="N125" s="809"/>
      <c r="O125" s="811">
        <v>0</v>
      </c>
      <c r="P125" s="812"/>
      <c r="Q125" s="812">
        <v>0</v>
      </c>
      <c r="R125" s="807">
        <f t="shared" si="2"/>
        <v>0</v>
      </c>
      <c r="S125" s="1174"/>
    </row>
    <row r="126" spans="2:19">
      <c r="B126" s="210" t="str">
        <f>IF(COUNTA(C126)=1,MAX(B$107:B125)+1,"")</f>
        <v/>
      </c>
      <c r="C126" s="808"/>
      <c r="D126" s="809"/>
      <c r="E126" s="809"/>
      <c r="F126" s="809"/>
      <c r="G126" s="809"/>
      <c r="H126" s="810"/>
      <c r="I126" s="808"/>
      <c r="J126" s="809"/>
      <c r="K126" s="809"/>
      <c r="L126" s="809"/>
      <c r="M126" s="809"/>
      <c r="N126" s="809"/>
      <c r="O126" s="811">
        <v>0</v>
      </c>
      <c r="P126" s="812"/>
      <c r="Q126" s="812">
        <v>0</v>
      </c>
      <c r="R126" s="807">
        <f t="shared" si="2"/>
        <v>0</v>
      </c>
      <c r="S126" s="1174"/>
    </row>
    <row r="127" spans="2:19">
      <c r="B127" s="210" t="str">
        <f>IF(COUNTA(C127)=1,MAX(B$107:B126)+1,"")</f>
        <v/>
      </c>
      <c r="C127" s="808"/>
      <c r="D127" s="809"/>
      <c r="E127" s="809"/>
      <c r="F127" s="809"/>
      <c r="G127" s="809"/>
      <c r="H127" s="810"/>
      <c r="I127" s="808"/>
      <c r="J127" s="809"/>
      <c r="K127" s="809"/>
      <c r="L127" s="809"/>
      <c r="M127" s="809"/>
      <c r="N127" s="809"/>
      <c r="O127" s="811">
        <v>0</v>
      </c>
      <c r="P127" s="812"/>
      <c r="Q127" s="812">
        <v>0</v>
      </c>
      <c r="R127" s="807">
        <f t="shared" si="2"/>
        <v>0</v>
      </c>
      <c r="S127" s="1174"/>
    </row>
    <row r="128" spans="2:19">
      <c r="B128" s="210" t="str">
        <f>IF(COUNTA(C128)=1,MAX(B$107:B127)+1,"")</f>
        <v/>
      </c>
      <c r="C128" s="808"/>
      <c r="D128" s="809"/>
      <c r="E128" s="809"/>
      <c r="F128" s="809"/>
      <c r="G128" s="809"/>
      <c r="H128" s="810"/>
      <c r="I128" s="808"/>
      <c r="J128" s="809"/>
      <c r="K128" s="809"/>
      <c r="L128" s="809"/>
      <c r="M128" s="809"/>
      <c r="N128" s="809"/>
      <c r="O128" s="811">
        <v>0</v>
      </c>
      <c r="P128" s="812"/>
      <c r="Q128" s="812">
        <v>0</v>
      </c>
      <c r="R128" s="807">
        <f t="shared" si="2"/>
        <v>0</v>
      </c>
      <c r="S128" s="1174"/>
    </row>
    <row r="129" spans="2:19">
      <c r="B129" s="210" t="str">
        <f>IF(COUNTA(C129)=1,MAX(B$107:B128)+1,"")</f>
        <v/>
      </c>
      <c r="C129" s="808"/>
      <c r="D129" s="809"/>
      <c r="E129" s="809"/>
      <c r="F129" s="809"/>
      <c r="G129" s="809"/>
      <c r="H129" s="810"/>
      <c r="I129" s="808"/>
      <c r="J129" s="809"/>
      <c r="K129" s="809"/>
      <c r="L129" s="809"/>
      <c r="M129" s="809"/>
      <c r="N129" s="809"/>
      <c r="O129" s="811">
        <v>0</v>
      </c>
      <c r="P129" s="812"/>
      <c r="Q129" s="812">
        <v>0</v>
      </c>
      <c r="R129" s="807">
        <f t="shared" si="2"/>
        <v>0</v>
      </c>
      <c r="S129" s="1174"/>
    </row>
    <row r="130" spans="2:19">
      <c r="B130" s="210" t="str">
        <f>IF(COUNTA(C130)=1,MAX(B$107:B129)+1,"")</f>
        <v/>
      </c>
      <c r="C130" s="808"/>
      <c r="D130" s="809"/>
      <c r="E130" s="809"/>
      <c r="F130" s="809"/>
      <c r="G130" s="809"/>
      <c r="H130" s="810"/>
      <c r="I130" s="808"/>
      <c r="J130" s="809"/>
      <c r="K130" s="809"/>
      <c r="L130" s="809"/>
      <c r="M130" s="809"/>
      <c r="N130" s="809"/>
      <c r="O130" s="811">
        <v>0</v>
      </c>
      <c r="P130" s="812"/>
      <c r="Q130" s="812">
        <v>0</v>
      </c>
      <c r="R130" s="807">
        <f t="shared" si="2"/>
        <v>0</v>
      </c>
      <c r="S130" s="1174"/>
    </row>
    <row r="131" spans="2:19">
      <c r="B131" s="210" t="str">
        <f>IF(COUNTA(C131)=1,MAX(B$107:B130)+1,"")</f>
        <v/>
      </c>
      <c r="C131" s="808"/>
      <c r="D131" s="809"/>
      <c r="E131" s="809"/>
      <c r="F131" s="809"/>
      <c r="G131" s="809"/>
      <c r="H131" s="810"/>
      <c r="I131" s="808"/>
      <c r="J131" s="809"/>
      <c r="K131" s="809"/>
      <c r="L131" s="809"/>
      <c r="M131" s="809"/>
      <c r="N131" s="809"/>
      <c r="O131" s="811">
        <v>0</v>
      </c>
      <c r="P131" s="812"/>
      <c r="Q131" s="812">
        <v>0</v>
      </c>
      <c r="R131" s="807">
        <f t="shared" si="2"/>
        <v>0</v>
      </c>
      <c r="S131" s="1174"/>
    </row>
    <row r="132" spans="2:19">
      <c r="B132" s="210" t="str">
        <f>IF(COUNTA(C132)=1,MAX(B$107:B131)+1,"")</f>
        <v/>
      </c>
      <c r="C132" s="808"/>
      <c r="D132" s="809"/>
      <c r="E132" s="809"/>
      <c r="F132" s="809"/>
      <c r="G132" s="809"/>
      <c r="H132" s="810"/>
      <c r="I132" s="808"/>
      <c r="J132" s="809"/>
      <c r="K132" s="809"/>
      <c r="L132" s="809"/>
      <c r="M132" s="809"/>
      <c r="N132" s="809"/>
      <c r="O132" s="811">
        <v>0</v>
      </c>
      <c r="P132" s="812"/>
      <c r="Q132" s="812">
        <v>0</v>
      </c>
      <c r="R132" s="807">
        <f t="shared" si="2"/>
        <v>0</v>
      </c>
      <c r="S132" s="1174"/>
    </row>
    <row r="133" spans="2:19">
      <c r="B133" s="210" t="str">
        <f>IF(COUNTA(C133)=1,MAX(B$107:B132)+1,"")</f>
        <v/>
      </c>
      <c r="C133" s="808"/>
      <c r="D133" s="809"/>
      <c r="E133" s="809"/>
      <c r="F133" s="809"/>
      <c r="G133" s="809"/>
      <c r="H133" s="810"/>
      <c r="I133" s="808"/>
      <c r="J133" s="809"/>
      <c r="K133" s="809"/>
      <c r="L133" s="809"/>
      <c r="M133" s="809"/>
      <c r="N133" s="809"/>
      <c r="O133" s="811">
        <v>0</v>
      </c>
      <c r="P133" s="812"/>
      <c r="Q133" s="812">
        <v>0</v>
      </c>
      <c r="R133" s="807">
        <f t="shared" si="2"/>
        <v>0</v>
      </c>
      <c r="S133" s="1174"/>
    </row>
    <row r="134" spans="2:19">
      <c r="B134" s="210" t="str">
        <f>IF(COUNTA(C134)=1,MAX(B$107:B133)+1,"")</f>
        <v/>
      </c>
      <c r="C134" s="808"/>
      <c r="D134" s="809"/>
      <c r="E134" s="809"/>
      <c r="F134" s="809"/>
      <c r="G134" s="809"/>
      <c r="H134" s="810"/>
      <c r="I134" s="808"/>
      <c r="J134" s="809"/>
      <c r="K134" s="809"/>
      <c r="L134" s="809"/>
      <c r="M134" s="809"/>
      <c r="N134" s="809"/>
      <c r="O134" s="811">
        <v>0</v>
      </c>
      <c r="P134" s="812"/>
      <c r="Q134" s="812">
        <v>0</v>
      </c>
      <c r="R134" s="807">
        <f t="shared" si="2"/>
        <v>0</v>
      </c>
      <c r="S134" s="1174"/>
    </row>
    <row r="135" spans="2:19">
      <c r="B135" s="210" t="str">
        <f>IF(COUNTA(C135)=1,MAX(B$107:B134)+1,"")</f>
        <v/>
      </c>
      <c r="C135" s="808"/>
      <c r="D135" s="809"/>
      <c r="E135" s="809"/>
      <c r="F135" s="809"/>
      <c r="G135" s="809"/>
      <c r="H135" s="810"/>
      <c r="I135" s="808"/>
      <c r="J135" s="809"/>
      <c r="K135" s="809"/>
      <c r="L135" s="809"/>
      <c r="M135" s="809"/>
      <c r="N135" s="809"/>
      <c r="O135" s="811">
        <v>0</v>
      </c>
      <c r="P135" s="812"/>
      <c r="Q135" s="812">
        <v>0</v>
      </c>
      <c r="R135" s="807">
        <f t="shared" si="2"/>
        <v>0</v>
      </c>
      <c r="S135" s="1174"/>
    </row>
    <row r="136" spans="2:19">
      <c r="B136" s="210" t="str">
        <f>IF(COUNTA(C136)=1,MAX(B$107:B135)+1,"")</f>
        <v/>
      </c>
      <c r="C136" s="808"/>
      <c r="D136" s="809"/>
      <c r="E136" s="809"/>
      <c r="F136" s="809"/>
      <c r="G136" s="809"/>
      <c r="H136" s="810"/>
      <c r="I136" s="808"/>
      <c r="J136" s="809"/>
      <c r="K136" s="809"/>
      <c r="L136" s="809"/>
      <c r="M136" s="809"/>
      <c r="N136" s="809"/>
      <c r="O136" s="811">
        <v>0</v>
      </c>
      <c r="P136" s="812"/>
      <c r="Q136" s="812">
        <v>0</v>
      </c>
      <c r="R136" s="807">
        <f t="shared" si="2"/>
        <v>0</v>
      </c>
      <c r="S136" s="1174"/>
    </row>
    <row r="137" spans="2:19">
      <c r="B137" s="210" t="str">
        <f>IF(COUNTA(C137)=1,MAX(B$107:B136)+1,"")</f>
        <v/>
      </c>
      <c r="C137" s="808"/>
      <c r="D137" s="809"/>
      <c r="E137" s="809"/>
      <c r="F137" s="809"/>
      <c r="G137" s="809"/>
      <c r="H137" s="810"/>
      <c r="I137" s="808"/>
      <c r="J137" s="809"/>
      <c r="K137" s="809"/>
      <c r="L137" s="809"/>
      <c r="M137" s="809"/>
      <c r="N137" s="809"/>
      <c r="O137" s="811">
        <v>0</v>
      </c>
      <c r="P137" s="812"/>
      <c r="Q137" s="812">
        <v>0</v>
      </c>
      <c r="R137" s="807">
        <f t="shared" si="2"/>
        <v>0</v>
      </c>
      <c r="S137" s="1174"/>
    </row>
    <row r="138" spans="2:19">
      <c r="B138" s="210" t="str">
        <f>IF(COUNTA(C138)=1,MAX(B$107:B137)+1,"")</f>
        <v/>
      </c>
      <c r="C138" s="808"/>
      <c r="D138" s="809"/>
      <c r="E138" s="809"/>
      <c r="F138" s="809"/>
      <c r="G138" s="809"/>
      <c r="H138" s="810"/>
      <c r="I138" s="808"/>
      <c r="J138" s="809"/>
      <c r="K138" s="809"/>
      <c r="L138" s="809"/>
      <c r="M138" s="809"/>
      <c r="N138" s="809"/>
      <c r="O138" s="811">
        <v>0</v>
      </c>
      <c r="P138" s="812"/>
      <c r="Q138" s="812">
        <v>0</v>
      </c>
      <c r="R138" s="807">
        <f t="shared" si="2"/>
        <v>0</v>
      </c>
      <c r="S138" s="1174"/>
    </row>
    <row r="139" spans="2:19">
      <c r="B139" s="210" t="str">
        <f>IF(COUNTA(C139)=1,MAX(B$107:B138)+1,"")</f>
        <v/>
      </c>
      <c r="C139" s="808"/>
      <c r="D139" s="809"/>
      <c r="E139" s="809"/>
      <c r="F139" s="809"/>
      <c r="G139" s="809"/>
      <c r="H139" s="810"/>
      <c r="I139" s="808"/>
      <c r="J139" s="809"/>
      <c r="K139" s="809"/>
      <c r="L139" s="809"/>
      <c r="M139" s="809"/>
      <c r="N139" s="809"/>
      <c r="O139" s="811">
        <v>0</v>
      </c>
      <c r="P139" s="812"/>
      <c r="Q139" s="812">
        <v>0</v>
      </c>
      <c r="R139" s="807">
        <f t="shared" si="2"/>
        <v>0</v>
      </c>
      <c r="S139" s="1174"/>
    </row>
    <row r="140" spans="2:19">
      <c r="B140" s="210" t="str">
        <f>IF(COUNTA(C140)=1,MAX(B$107:B139)+1,"")</f>
        <v/>
      </c>
      <c r="C140" s="808"/>
      <c r="D140" s="809"/>
      <c r="E140" s="809"/>
      <c r="F140" s="809"/>
      <c r="G140" s="809"/>
      <c r="H140" s="810"/>
      <c r="I140" s="808"/>
      <c r="J140" s="809"/>
      <c r="K140" s="809"/>
      <c r="L140" s="809"/>
      <c r="M140" s="809"/>
      <c r="N140" s="809"/>
      <c r="O140" s="811">
        <v>0</v>
      </c>
      <c r="P140" s="812"/>
      <c r="Q140" s="812">
        <v>0</v>
      </c>
      <c r="R140" s="807">
        <f t="shared" si="2"/>
        <v>0</v>
      </c>
      <c r="S140" s="1174"/>
    </row>
    <row r="141" spans="2:19">
      <c r="B141" s="210" t="str">
        <f>IF(COUNTA(C141)=1,MAX(B$107:B140)+1,"")</f>
        <v/>
      </c>
      <c r="C141" s="808"/>
      <c r="D141" s="809"/>
      <c r="E141" s="809"/>
      <c r="F141" s="809"/>
      <c r="G141" s="809"/>
      <c r="H141" s="810"/>
      <c r="I141" s="808"/>
      <c r="J141" s="809"/>
      <c r="K141" s="809"/>
      <c r="L141" s="809"/>
      <c r="M141" s="809"/>
      <c r="N141" s="809"/>
      <c r="O141" s="811">
        <v>0</v>
      </c>
      <c r="P141" s="812"/>
      <c r="Q141" s="812">
        <v>0</v>
      </c>
      <c r="R141" s="807">
        <f t="shared" si="2"/>
        <v>0</v>
      </c>
      <c r="S141" s="1174"/>
    </row>
    <row r="142" spans="2:19">
      <c r="B142" s="210" t="str">
        <f>IF(COUNTA(C142)=1,MAX(B$107:B141)+1,"")</f>
        <v/>
      </c>
      <c r="C142" s="808"/>
      <c r="D142" s="809"/>
      <c r="E142" s="809"/>
      <c r="F142" s="809"/>
      <c r="G142" s="809"/>
      <c r="H142" s="810"/>
      <c r="I142" s="808"/>
      <c r="J142" s="809"/>
      <c r="K142" s="809"/>
      <c r="L142" s="809"/>
      <c r="M142" s="809"/>
      <c r="N142" s="809"/>
      <c r="O142" s="811">
        <v>0</v>
      </c>
      <c r="P142" s="812"/>
      <c r="Q142" s="812">
        <v>0</v>
      </c>
      <c r="R142" s="807">
        <f t="shared" si="2"/>
        <v>0</v>
      </c>
      <c r="S142" s="1174"/>
    </row>
    <row r="143" spans="2:19">
      <c r="B143" s="210" t="str">
        <f>IF(COUNTA(C143)=1,MAX(B$107:B142)+1,"")</f>
        <v/>
      </c>
      <c r="C143" s="808"/>
      <c r="D143" s="809"/>
      <c r="E143" s="809"/>
      <c r="F143" s="809"/>
      <c r="G143" s="809"/>
      <c r="H143" s="810"/>
      <c r="I143" s="808"/>
      <c r="J143" s="809"/>
      <c r="K143" s="809"/>
      <c r="L143" s="809"/>
      <c r="M143" s="809"/>
      <c r="N143" s="809"/>
      <c r="O143" s="811">
        <v>0</v>
      </c>
      <c r="P143" s="812"/>
      <c r="Q143" s="812">
        <v>0</v>
      </c>
      <c r="R143" s="807">
        <f t="shared" si="2"/>
        <v>0</v>
      </c>
      <c r="S143" s="1174"/>
    </row>
    <row r="144" spans="2:19">
      <c r="B144" s="210" t="str">
        <f>IF(COUNTA(C144)=1,MAX(B$107:B143)+1,"")</f>
        <v/>
      </c>
      <c r="C144" s="808"/>
      <c r="D144" s="809"/>
      <c r="E144" s="809"/>
      <c r="F144" s="809"/>
      <c r="G144" s="809"/>
      <c r="H144" s="810"/>
      <c r="I144" s="808"/>
      <c r="J144" s="809"/>
      <c r="K144" s="809"/>
      <c r="L144" s="809"/>
      <c r="M144" s="809"/>
      <c r="N144" s="809"/>
      <c r="O144" s="811">
        <v>0</v>
      </c>
      <c r="P144" s="812"/>
      <c r="Q144" s="812">
        <v>0</v>
      </c>
      <c r="R144" s="807">
        <f t="shared" si="2"/>
        <v>0</v>
      </c>
      <c r="S144" s="1174"/>
    </row>
    <row r="145" spans="2:19">
      <c r="B145" s="210" t="str">
        <f>IF(COUNTA(C145)=1,MAX(B$107:B144)+1,"")</f>
        <v/>
      </c>
      <c r="C145" s="808"/>
      <c r="D145" s="809"/>
      <c r="E145" s="809"/>
      <c r="F145" s="809"/>
      <c r="G145" s="809"/>
      <c r="H145" s="810"/>
      <c r="I145" s="808"/>
      <c r="J145" s="809"/>
      <c r="K145" s="809"/>
      <c r="L145" s="809"/>
      <c r="M145" s="809"/>
      <c r="N145" s="809"/>
      <c r="O145" s="811">
        <v>0</v>
      </c>
      <c r="P145" s="812"/>
      <c r="Q145" s="812">
        <v>0</v>
      </c>
      <c r="R145" s="807">
        <f t="shared" si="2"/>
        <v>0</v>
      </c>
      <c r="S145" s="1174"/>
    </row>
    <row r="146" spans="2:19">
      <c r="B146" s="210" t="str">
        <f>IF(COUNTA(C146)=1,MAX(B$107:B145)+1,"")</f>
        <v/>
      </c>
      <c r="C146" s="808"/>
      <c r="D146" s="809"/>
      <c r="E146" s="809"/>
      <c r="F146" s="809"/>
      <c r="G146" s="809"/>
      <c r="H146" s="810"/>
      <c r="I146" s="808"/>
      <c r="J146" s="809"/>
      <c r="K146" s="809"/>
      <c r="L146" s="809"/>
      <c r="M146" s="809"/>
      <c r="N146" s="809"/>
      <c r="O146" s="811">
        <v>0</v>
      </c>
      <c r="P146" s="812"/>
      <c r="Q146" s="812">
        <v>0</v>
      </c>
      <c r="R146" s="807">
        <f t="shared" si="2"/>
        <v>0</v>
      </c>
      <c r="S146" s="1174"/>
    </row>
    <row r="147" spans="2:19">
      <c r="B147" s="210" t="str">
        <f>IF(COUNTA(C147)=1,MAX(B$107:B146)+1,"")</f>
        <v/>
      </c>
      <c r="C147" s="808"/>
      <c r="D147" s="809"/>
      <c r="E147" s="809"/>
      <c r="F147" s="809"/>
      <c r="G147" s="809"/>
      <c r="H147" s="810"/>
      <c r="I147" s="808"/>
      <c r="J147" s="809"/>
      <c r="K147" s="809"/>
      <c r="L147" s="809"/>
      <c r="M147" s="809"/>
      <c r="N147" s="809"/>
      <c r="O147" s="811">
        <v>0</v>
      </c>
      <c r="P147" s="812"/>
      <c r="Q147" s="812">
        <v>0</v>
      </c>
      <c r="R147" s="807">
        <f t="shared" si="2"/>
        <v>0</v>
      </c>
      <c r="S147" s="1174"/>
    </row>
    <row r="148" spans="2:19">
      <c r="B148" s="210" t="str">
        <f>IF(COUNTA(C148)=1,MAX(B$107:B147)+1,"")</f>
        <v/>
      </c>
      <c r="C148" s="808"/>
      <c r="D148" s="809"/>
      <c r="E148" s="809"/>
      <c r="F148" s="809"/>
      <c r="G148" s="809"/>
      <c r="H148" s="810"/>
      <c r="I148" s="808"/>
      <c r="J148" s="809"/>
      <c r="K148" s="809"/>
      <c r="L148" s="809"/>
      <c r="M148" s="809"/>
      <c r="N148" s="809"/>
      <c r="O148" s="811">
        <v>0</v>
      </c>
      <c r="P148" s="812"/>
      <c r="Q148" s="812">
        <v>0</v>
      </c>
      <c r="R148" s="807">
        <f t="shared" si="2"/>
        <v>0</v>
      </c>
      <c r="S148" s="1174"/>
    </row>
    <row r="149" spans="2:19">
      <c r="B149" s="210" t="str">
        <f>IF(COUNTA(C149)=1,MAX(B$107:B148)+1,"")</f>
        <v/>
      </c>
      <c r="C149" s="808"/>
      <c r="D149" s="809"/>
      <c r="E149" s="809"/>
      <c r="F149" s="809"/>
      <c r="G149" s="809"/>
      <c r="H149" s="810"/>
      <c r="I149" s="808"/>
      <c r="J149" s="809"/>
      <c r="K149" s="809"/>
      <c r="L149" s="809"/>
      <c r="M149" s="809"/>
      <c r="N149" s="809"/>
      <c r="O149" s="811">
        <v>0</v>
      </c>
      <c r="P149" s="812"/>
      <c r="Q149" s="812">
        <v>0</v>
      </c>
      <c r="R149" s="807">
        <f t="shared" si="2"/>
        <v>0</v>
      </c>
      <c r="S149" s="1174"/>
    </row>
    <row r="150" spans="2:19">
      <c r="B150" s="210" t="str">
        <f>IF(COUNTA(C150)=1,MAX(B$107:B149)+1,"")</f>
        <v/>
      </c>
      <c r="C150" s="808"/>
      <c r="D150" s="809"/>
      <c r="E150" s="809"/>
      <c r="F150" s="809"/>
      <c r="G150" s="809"/>
      <c r="H150" s="810"/>
      <c r="I150" s="808"/>
      <c r="J150" s="809"/>
      <c r="K150" s="809"/>
      <c r="L150" s="809"/>
      <c r="M150" s="809"/>
      <c r="N150" s="809"/>
      <c r="O150" s="811">
        <v>0</v>
      </c>
      <c r="P150" s="812"/>
      <c r="Q150" s="812">
        <v>0</v>
      </c>
      <c r="R150" s="807">
        <f t="shared" si="2"/>
        <v>0</v>
      </c>
      <c r="S150" s="1174"/>
    </row>
    <row r="151" spans="2:19">
      <c r="B151" s="210" t="str">
        <f>IF(COUNTA(C151)=1,MAX(B$107:B150)+1,"")</f>
        <v/>
      </c>
      <c r="C151" s="808"/>
      <c r="D151" s="809"/>
      <c r="E151" s="809"/>
      <c r="F151" s="809"/>
      <c r="G151" s="809"/>
      <c r="H151" s="810"/>
      <c r="I151" s="808"/>
      <c r="J151" s="809"/>
      <c r="K151" s="809"/>
      <c r="L151" s="809"/>
      <c r="M151" s="809"/>
      <c r="N151" s="809"/>
      <c r="O151" s="811">
        <v>0</v>
      </c>
      <c r="P151" s="812"/>
      <c r="Q151" s="812">
        <v>0</v>
      </c>
      <c r="R151" s="807">
        <f t="shared" si="2"/>
        <v>0</v>
      </c>
      <c r="S151" s="1174"/>
    </row>
    <row r="152" spans="2:19">
      <c r="B152" s="210" t="str">
        <f>IF(COUNTA(C152)=1,MAX(B$107:B151)+1,"")</f>
        <v/>
      </c>
      <c r="C152" s="808"/>
      <c r="D152" s="809"/>
      <c r="E152" s="809"/>
      <c r="F152" s="809"/>
      <c r="G152" s="809"/>
      <c r="H152" s="810"/>
      <c r="I152" s="808"/>
      <c r="J152" s="809"/>
      <c r="K152" s="809"/>
      <c r="L152" s="809"/>
      <c r="M152" s="809"/>
      <c r="N152" s="809"/>
      <c r="O152" s="811">
        <v>0</v>
      </c>
      <c r="P152" s="812"/>
      <c r="Q152" s="812">
        <v>0</v>
      </c>
      <c r="R152" s="807">
        <f t="shared" si="2"/>
        <v>0</v>
      </c>
      <c r="S152" s="1174"/>
    </row>
    <row r="153" spans="2:19">
      <c r="B153" s="210" t="str">
        <f>IF(COUNTA(C153)=1,MAX(B$107:B152)+1,"")</f>
        <v/>
      </c>
      <c r="C153" s="808"/>
      <c r="D153" s="809"/>
      <c r="E153" s="809"/>
      <c r="F153" s="809"/>
      <c r="G153" s="809"/>
      <c r="H153" s="810"/>
      <c r="I153" s="808"/>
      <c r="J153" s="809"/>
      <c r="K153" s="809"/>
      <c r="L153" s="809"/>
      <c r="M153" s="809"/>
      <c r="N153" s="809"/>
      <c r="O153" s="811">
        <v>0</v>
      </c>
      <c r="P153" s="812"/>
      <c r="Q153" s="812">
        <v>0</v>
      </c>
      <c r="R153" s="807">
        <f t="shared" si="2"/>
        <v>0</v>
      </c>
      <c r="S153" s="1174"/>
    </row>
    <row r="154" spans="2:19">
      <c r="B154" s="210" t="str">
        <f>IF(COUNTA(C154)=1,MAX(B$107:B153)+1,"")</f>
        <v/>
      </c>
      <c r="C154" s="808"/>
      <c r="D154" s="809"/>
      <c r="E154" s="809"/>
      <c r="F154" s="809"/>
      <c r="G154" s="809"/>
      <c r="H154" s="810"/>
      <c r="I154" s="808"/>
      <c r="J154" s="809"/>
      <c r="K154" s="809"/>
      <c r="L154" s="809"/>
      <c r="M154" s="809"/>
      <c r="N154" s="809"/>
      <c r="O154" s="811">
        <v>0</v>
      </c>
      <c r="P154" s="812"/>
      <c r="Q154" s="812">
        <v>0</v>
      </c>
      <c r="R154" s="807">
        <f t="shared" si="2"/>
        <v>0</v>
      </c>
      <c r="S154" s="1174"/>
    </row>
    <row r="155" spans="2:19">
      <c r="B155" s="210" t="str">
        <f>IF(COUNTA(C155)=1,MAX(B$107:B154)+1,"")</f>
        <v/>
      </c>
      <c r="C155" s="808"/>
      <c r="D155" s="809"/>
      <c r="E155" s="809"/>
      <c r="F155" s="809"/>
      <c r="G155" s="809"/>
      <c r="H155" s="810"/>
      <c r="I155" s="808"/>
      <c r="J155" s="809"/>
      <c r="K155" s="809"/>
      <c r="L155" s="809"/>
      <c r="M155" s="809"/>
      <c r="N155" s="809"/>
      <c r="O155" s="811">
        <v>0</v>
      </c>
      <c r="P155" s="812"/>
      <c r="Q155" s="812">
        <v>0</v>
      </c>
      <c r="R155" s="807">
        <f t="shared" si="2"/>
        <v>0</v>
      </c>
      <c r="S155" s="1174"/>
    </row>
    <row r="156" spans="2:19">
      <c r="B156" s="210" t="str">
        <f>IF(COUNTA(C156)=1,MAX(B$107:B155)+1,"")</f>
        <v/>
      </c>
      <c r="C156" s="808"/>
      <c r="D156" s="809"/>
      <c r="E156" s="809"/>
      <c r="F156" s="809"/>
      <c r="G156" s="809"/>
      <c r="H156" s="810"/>
      <c r="I156" s="808"/>
      <c r="J156" s="809"/>
      <c r="K156" s="809"/>
      <c r="L156" s="809"/>
      <c r="M156" s="809"/>
      <c r="N156" s="809"/>
      <c r="O156" s="811">
        <v>0</v>
      </c>
      <c r="P156" s="812"/>
      <c r="Q156" s="812">
        <v>0</v>
      </c>
      <c r="R156" s="807">
        <f t="shared" si="2"/>
        <v>0</v>
      </c>
      <c r="S156" s="1174"/>
    </row>
  </sheetData>
  <sheetProtection algorithmName="SHA-512" hashValue="Nt8T9fNE9Wh8vjMFgDc3XGz6jbkmKGuOm8xoHzk49DkGmXHWK8pqQK9BfnWruDQ8PMqsQueH1Nj8x+3uYhxHmg==" saltValue="gfxxjAb/q9zNqTZ+jg6LPA==" spinCount="100000" sheet="1" selectLockedCells="1"/>
  <mergeCells count="10">
    <mergeCell ref="P103:Q103"/>
    <mergeCell ref="P105:Q105"/>
    <mergeCell ref="D27:E27"/>
    <mergeCell ref="D28:E28"/>
    <mergeCell ref="Q1:Q2"/>
    <mergeCell ref="L1:L2"/>
    <mergeCell ref="M1:M2"/>
    <mergeCell ref="N1:N2"/>
    <mergeCell ref="O1:O2"/>
    <mergeCell ref="P1:P2"/>
  </mergeCells>
  <conditionalFormatting sqref="E21">
    <cfRule type="cellIs" dxfId="54" priority="7" stopIfTrue="1" operator="equal">
      <formula>1</formula>
    </cfRule>
  </conditionalFormatting>
  <conditionalFormatting sqref="E86">
    <cfRule type="cellIs" dxfId="53" priority="13" stopIfTrue="1" operator="equal">
      <formula>1</formula>
    </cfRule>
  </conditionalFormatting>
  <conditionalFormatting sqref="N6">
    <cfRule type="cellIs" dxfId="52" priority="6" operator="equal">
      <formula>1</formula>
    </cfRule>
  </conditionalFormatting>
  <conditionalFormatting sqref="N18">
    <cfRule type="cellIs" dxfId="51" priority="5" operator="equal">
      <formula>1</formula>
    </cfRule>
  </conditionalFormatting>
  <conditionalFormatting sqref="N22:N23">
    <cfRule type="cellIs" dxfId="50" priority="22" stopIfTrue="1" operator="equal">
      <formula>0</formula>
    </cfRule>
  </conditionalFormatting>
  <conditionalFormatting sqref="O10">
    <cfRule type="cellIs" dxfId="49" priority="1" operator="equal">
      <formula>1</formula>
    </cfRule>
  </conditionalFormatting>
  <conditionalFormatting sqref="O18 N19:O20">
    <cfRule type="cellIs" dxfId="48" priority="15" stopIfTrue="1" operator="equal">
      <formula>0</formula>
    </cfRule>
  </conditionalFormatting>
  <conditionalFormatting sqref="R107:R156">
    <cfRule type="cellIs" dxfId="47" priority="2" operator="notEqual">
      <formula>1</formula>
    </cfRule>
    <cfRule type="cellIs" dxfId="46" priority="3" operator="equal">
      <formula>1</formula>
    </cfRule>
  </conditionalFormatting>
  <conditionalFormatting sqref="S65">
    <cfRule type="cellIs" dxfId="45" priority="20" operator="equal">
      <formula>1</formula>
    </cfRule>
    <cfRule type="cellIs" dxfId="44" priority="21" operator="notEqual">
      <formula>1</formula>
    </cfRule>
  </conditionalFormatting>
  <dataValidations disablePrompts="1" count="5">
    <dataValidation type="decimal" errorStyle="information" operator="lessThanOrEqual" allowBlank="1" showInputMessage="1" showErrorMessage="1" error="Bitte nur Werte bis max. 15% verwenden." prompt="Bitte nur Werte bis max. 15% verwenden." sqref="E84" xr:uid="{D7B7D55F-4063-43FB-9809-F0ECFEB3A054}">
      <formula1>0.15</formula1>
    </dataValidation>
    <dataValidation type="list" allowBlank="1" showInputMessage="1" showErrorMessage="1" sqref="Q25:Q29" xr:uid="{F5426B3B-0D72-4B08-8A81-4399053F82BF}">
      <formula1>"Büro, Labor, Allg. Lehren und Lernen, Fachspez. Lehre, Lager, Weitere STB"</formula1>
    </dataValidation>
    <dataValidation type="list" allowBlank="1" sqref="E86 E21" xr:uid="{A5A49570-3745-4E1E-91BE-D23A0BBBCDE3}">
      <formula1>"ja, nein"</formula1>
    </dataValidation>
    <dataValidation allowBlank="1" showInputMessage="1" showErrorMessage="1" prompt="Für die weitere Berechnung werden nur Werte bis max. 100% übernommen." sqref="S89" xr:uid="{BCB683FF-2C4B-489F-B7D4-4A1153CD8299}"/>
    <dataValidation type="list" allowBlank="1" showInputMessage="1" showErrorMessage="1" sqref="O107:Q156" xr:uid="{9E9295A3-A8D0-4491-952E-063473F2A680}">
      <formula1>"0%,50%,100%"</formula1>
    </dataValidation>
  </dataValidations>
  <pageMargins left="0.59055118110236227" right="0.59055118110236227" top="0.78740157480314965" bottom="0.59055118110236227" header="0.51181102362204722" footer="0.27559055118110237"/>
  <pageSetup paperSize="9" scale="79" orientation="portrait" r:id="rId1"/>
  <headerFooter alignWithMargins="0">
    <oddFooter>&amp;C&amp;8Seite &amp;P von &amp;N</oddFooter>
  </headerFooter>
  <rowBreaks count="1" manualBreakCount="1">
    <brk id="51"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48A97-512A-4B27-BB06-340FCFFC5FDB}">
  <sheetPr codeName="Tabelle14">
    <tabColor theme="6" tint="-0.249977111117893"/>
  </sheetPr>
  <dimension ref="A1:X156"/>
  <sheetViews>
    <sheetView showGridLines="0" showZeros="0" zoomScale="115" zoomScaleNormal="115" zoomScaleSheetLayoutView="115" workbookViewId="0">
      <selection activeCell="B9" sqref="B9"/>
    </sheetView>
  </sheetViews>
  <sheetFormatPr baseColWidth="10" defaultColWidth="11.453125" defaultRowHeight="10"/>
  <cols>
    <col min="1" max="1" width="0.54296875" style="1" customWidth="1"/>
    <col min="2" max="2" width="9.54296875" style="1" customWidth="1"/>
    <col min="3" max="3" width="6.54296875" style="1" customWidth="1"/>
    <col min="4" max="4" width="5.54296875" style="1" customWidth="1"/>
    <col min="5" max="5" width="5.453125" style="1" customWidth="1"/>
    <col min="6" max="6" width="1.81640625" style="1" customWidth="1"/>
    <col min="7" max="7" width="1.453125" style="1" customWidth="1"/>
    <col min="8" max="9" width="7.453125" style="1" customWidth="1"/>
    <col min="10" max="10" width="7.453125" style="42" customWidth="1"/>
    <col min="11" max="11" width="7.453125" style="1" customWidth="1"/>
    <col min="12" max="12" width="7.453125" style="42" customWidth="1"/>
    <col min="13" max="13" width="7.453125" style="1" customWidth="1"/>
    <col min="14" max="15" width="7.453125" style="42" customWidth="1"/>
    <col min="16" max="16" width="8.54296875" style="42" customWidth="1"/>
    <col min="17" max="17" width="7.453125" style="42" customWidth="1"/>
    <col min="18" max="18" width="0.81640625" style="42" customWidth="1"/>
    <col min="19" max="19" width="7.453125" style="42" customWidth="1"/>
    <col min="20" max="20" width="1.1796875" style="1" customWidth="1"/>
    <col min="21" max="21" width="7.1796875" style="202" customWidth="1"/>
    <col min="22" max="24" width="7.26953125" style="202" customWidth="1"/>
    <col min="25" max="16384" width="11.453125" style="1"/>
  </cols>
  <sheetData>
    <row r="1" spans="1:24" ht="13" customHeight="1">
      <c r="A1" s="7"/>
      <c r="B1" s="8"/>
      <c r="C1" s="8"/>
      <c r="D1" s="8"/>
      <c r="E1" s="8"/>
      <c r="F1" s="9"/>
      <c r="H1" s="214"/>
      <c r="I1" s="216"/>
      <c r="J1" s="108"/>
      <c r="K1" s="9"/>
      <c r="L1" s="1364" t="s">
        <v>57</v>
      </c>
      <c r="M1" s="1364" t="s">
        <v>108</v>
      </c>
      <c r="N1" s="1364" t="s">
        <v>126</v>
      </c>
      <c r="O1" s="1364" t="s">
        <v>58</v>
      </c>
      <c r="P1" s="1356" t="s">
        <v>11</v>
      </c>
      <c r="Q1" s="1358" t="s">
        <v>113</v>
      </c>
      <c r="R1" s="341"/>
      <c r="S1" s="332"/>
    </row>
    <row r="2" spans="1:24" ht="38.15" customHeight="1">
      <c r="A2" s="13"/>
      <c r="B2" s="2" t="s">
        <v>24</v>
      </c>
      <c r="C2" s="96"/>
      <c r="D2" s="96"/>
      <c r="E2" s="96"/>
      <c r="F2" s="97"/>
      <c r="H2" s="210" t="s">
        <v>111</v>
      </c>
      <c r="I2" s="3"/>
      <c r="J2" s="49"/>
      <c r="K2" s="14"/>
      <c r="L2" s="1365"/>
      <c r="M2" s="1365"/>
      <c r="N2" s="1365"/>
      <c r="O2" s="1365"/>
      <c r="P2" s="1357"/>
      <c r="Q2" s="1359"/>
      <c r="R2" s="341"/>
      <c r="S2" s="332"/>
      <c r="V2" s="12" t="s">
        <v>863</v>
      </c>
    </row>
    <row r="3" spans="1:24" ht="3" customHeight="1">
      <c r="A3" s="98"/>
      <c r="B3" s="99"/>
      <c r="C3" s="99"/>
      <c r="D3" s="99"/>
      <c r="E3" s="99"/>
      <c r="F3" s="100"/>
      <c r="H3" s="215"/>
      <c r="I3" s="217"/>
      <c r="J3" s="218"/>
      <c r="K3" s="100"/>
      <c r="L3" s="4"/>
      <c r="M3" s="4"/>
      <c r="N3" s="4"/>
      <c r="O3" s="4"/>
      <c r="P3" s="5"/>
      <c r="Q3" s="6"/>
      <c r="R3" s="333"/>
      <c r="S3" s="333"/>
    </row>
    <row r="4" spans="1:24">
      <c r="A4" s="2"/>
      <c r="B4" s="2"/>
      <c r="C4" s="2"/>
      <c r="D4" s="2"/>
      <c r="E4" s="2"/>
      <c r="F4" s="2"/>
      <c r="H4" s="3"/>
      <c r="I4" s="3"/>
      <c r="K4" s="10"/>
      <c r="L4" s="11"/>
      <c r="M4" s="3"/>
      <c r="N4" s="11"/>
      <c r="O4" s="11"/>
      <c r="P4" s="11"/>
      <c r="Q4" s="12"/>
      <c r="R4" s="12"/>
      <c r="S4" s="12"/>
    </row>
    <row r="5" spans="1:24" ht="11.25" customHeight="1">
      <c r="A5" s="7"/>
      <c r="B5" s="8"/>
      <c r="C5" s="8"/>
      <c r="D5" s="8"/>
      <c r="E5" s="8"/>
      <c r="F5" s="9"/>
      <c r="H5" s="15" t="s">
        <v>87</v>
      </c>
      <c r="I5" s="3"/>
      <c r="K5" s="10"/>
      <c r="L5" s="11"/>
      <c r="M5" s="3"/>
      <c r="N5" s="11"/>
      <c r="O5" s="11"/>
      <c r="P5" s="11"/>
      <c r="Q5" s="12"/>
      <c r="R5" s="12"/>
      <c r="S5" s="12"/>
      <c r="V5" s="1225"/>
      <c r="W5" s="1226"/>
      <c r="X5" s="1227"/>
    </row>
    <row r="6" spans="1:24" s="19" customFormat="1" ht="11.5" customHeight="1">
      <c r="A6" s="16"/>
      <c r="B6" s="24"/>
      <c r="C6" s="17"/>
      <c r="D6" s="17"/>
      <c r="E6" s="17"/>
      <c r="F6" s="18"/>
      <c r="H6" s="203" t="s">
        <v>0</v>
      </c>
      <c r="I6" s="17"/>
      <c r="L6" s="339">
        <f>IF(E15&gt;0,E15,0)</f>
        <v>0</v>
      </c>
      <c r="M6" s="20">
        <f>IF(E15&gt;0,'HAW-Kennwerte'!C23,0)</f>
        <v>0</v>
      </c>
      <c r="N6" s="205">
        <f>IF(L6&gt;0,IF(E21="ja",'HAW-Kennwerte'!D23,1),0)</f>
        <v>0</v>
      </c>
      <c r="O6" s="22"/>
      <c r="P6" s="23">
        <f>L6*M6*N6</f>
        <v>0</v>
      </c>
      <c r="Q6" s="328">
        <f>IF(P6&gt;0,'HAW-Kennwerte'!Z21,0)</f>
        <v>0</v>
      </c>
      <c r="R6" s="328"/>
      <c r="S6" s="328"/>
      <c r="U6" s="203"/>
      <c r="V6" s="1200"/>
      <c r="W6" s="1201"/>
      <c r="X6" s="1202"/>
    </row>
    <row r="7" spans="1:24" s="19" customFormat="1" ht="11.5" customHeight="1">
      <c r="A7" s="16"/>
      <c r="B7" s="928" t="str">
        <f>HAW!B4</f>
        <v>Hochschule …</v>
      </c>
      <c r="C7" s="928"/>
      <c r="D7" s="928"/>
      <c r="E7" s="928"/>
      <c r="F7" s="18"/>
      <c r="H7" s="203" t="s">
        <v>1</v>
      </c>
      <c r="I7" s="17"/>
      <c r="L7" s="340">
        <f>IF(E15-E16&lt;0,0,IF(E23&gt;E16,0,E16))</f>
        <v>0</v>
      </c>
      <c r="M7" s="895">
        <f>IF(L7&gt;0,'HAW-Kennwerte'!I23,0)</f>
        <v>0</v>
      </c>
      <c r="N7" s="205"/>
      <c r="O7" s="896">
        <f>IFERROR(IF(L7&gt;0,(E23*(E24*'HAW-Kennwerte'!K23+E25*'HAW-Kennwerte'!M23))/(E16*M7),0),"")</f>
        <v>0</v>
      </c>
      <c r="P7" s="27">
        <f>IFERROR(L7*M7*O7,"")</f>
        <v>0</v>
      </c>
      <c r="Q7" s="329">
        <f>IF(P7&gt;0,'HAW-Kennwerte'!AA23,0)</f>
        <v>0</v>
      </c>
      <c r="R7" s="329"/>
      <c r="S7" s="329"/>
      <c r="U7" s="203"/>
      <c r="V7" s="1200"/>
      <c r="W7" s="1201"/>
      <c r="X7" s="1202"/>
    </row>
    <row r="8" spans="1:24" s="19" customFormat="1" ht="11.5" customHeight="1">
      <c r="A8" s="16"/>
      <c r="B8" s="473">
        <f>HAW!B5</f>
        <v>0</v>
      </c>
      <c r="F8" s="18"/>
      <c r="H8" s="203" t="s">
        <v>86</v>
      </c>
      <c r="I8" s="17"/>
      <c r="L8" s="29"/>
      <c r="M8" s="20"/>
      <c r="N8" s="21"/>
      <c r="O8" s="22"/>
      <c r="P8" s="52"/>
      <c r="Q8" s="329"/>
      <c r="R8" s="329"/>
      <c r="S8" s="329"/>
      <c r="U8" s="203"/>
      <c r="V8" s="1228"/>
      <c r="W8" s="1229"/>
      <c r="X8" s="1230"/>
    </row>
    <row r="9" spans="1:24" s="19" customFormat="1" ht="11.5" customHeight="1">
      <c r="A9" s="16"/>
      <c r="B9" s="382" t="s">
        <v>93</v>
      </c>
      <c r="C9" s="383"/>
      <c r="D9" s="383"/>
      <c r="E9" s="383"/>
      <c r="F9" s="18"/>
      <c r="H9" s="203" t="s">
        <v>159</v>
      </c>
      <c r="I9" s="17"/>
      <c r="L9" s="339"/>
      <c r="M9" s="30"/>
      <c r="N9" s="21"/>
      <c r="O9" s="22"/>
      <c r="P9" s="52"/>
      <c r="Q9" s="329"/>
      <c r="R9" s="329"/>
      <c r="S9" s="329"/>
      <c r="U9" s="203"/>
      <c r="V9" s="1228"/>
      <c r="W9" s="1229"/>
      <c r="X9" s="1230"/>
    </row>
    <row r="10" spans="1:24" s="19" customFormat="1" ht="11.5" customHeight="1">
      <c r="A10" s="16"/>
      <c r="B10" s="382" t="s">
        <v>92</v>
      </c>
      <c r="C10" s="384"/>
      <c r="D10" s="384"/>
      <c r="E10" s="384"/>
      <c r="F10" s="18"/>
      <c r="H10" s="204" t="s">
        <v>19</v>
      </c>
      <c r="I10" s="17"/>
      <c r="L10" s="765">
        <f>IF(SUM($E$17:$E$18)&gt;0,$S$84,0)</f>
        <v>0</v>
      </c>
      <c r="M10" s="30">
        <f>IF($L$10&gt;0,'HAW-Kennwerte'!R23,0)</f>
        <v>0</v>
      </c>
      <c r="N10" s="205">
        <f>IF(L10&gt;0,E19,0)</f>
        <v>0</v>
      </c>
      <c r="O10" s="26">
        <f>IF(E84&gt;0.15,0,IFERROR((M10+M10*0.8*E84*0.4)/M10,0))</f>
        <v>0</v>
      </c>
      <c r="P10" s="27">
        <f>L10*N10*(M10*O10+IF(E86="ja",'HAW-Kennwerte'!$R$29,0))</f>
        <v>0</v>
      </c>
      <c r="Q10" s="329"/>
      <c r="R10" s="329"/>
      <c r="S10" s="329"/>
      <c r="U10" s="203"/>
      <c r="V10" s="1200"/>
      <c r="W10" s="1201"/>
      <c r="X10" s="1202"/>
    </row>
    <row r="11" spans="1:24" s="19" customFormat="1" ht="11.5" customHeight="1">
      <c r="A11" s="16"/>
      <c r="B11" s="56"/>
      <c r="C11" s="56"/>
      <c r="D11" s="56"/>
      <c r="E11" s="56"/>
      <c r="F11" s="18"/>
      <c r="H11" s="204" t="s">
        <v>91</v>
      </c>
      <c r="I11" s="17"/>
      <c r="L11" s="765">
        <f>IF(SUM($E$17:$E$18)&gt;0,SUM($E$17:$E$18),0)</f>
        <v>0</v>
      </c>
      <c r="M11" s="249">
        <f>IF($L$11&gt;0,'HAW-Kennwerte'!S23,0)</f>
        <v>0</v>
      </c>
      <c r="N11" s="205">
        <f>IF(L11&gt;0,E19,0)</f>
        <v>0</v>
      </c>
      <c r="O11" s="22"/>
      <c r="P11" s="31">
        <f>L11*M11*N11</f>
        <v>0</v>
      </c>
      <c r="Q11" s="329"/>
      <c r="R11" s="329"/>
      <c r="S11" s="329"/>
      <c r="U11" s="203"/>
      <c r="V11" s="1200"/>
      <c r="W11" s="1201"/>
      <c r="X11" s="1202"/>
    </row>
    <row r="12" spans="1:24" s="19" customFormat="1" ht="11.5" customHeight="1">
      <c r="A12" s="16"/>
      <c r="B12" s="24" t="s">
        <v>8</v>
      </c>
      <c r="F12" s="18"/>
      <c r="H12" s="204" t="s">
        <v>109</v>
      </c>
      <c r="I12" s="17"/>
      <c r="L12" s="766">
        <f>IF($E$17&gt;0,$E$17,0)</f>
        <v>0</v>
      </c>
      <c r="M12" s="30">
        <f>IF($L$12&gt;0,'HAW-Kennwerte'!U23,0)</f>
        <v>0</v>
      </c>
      <c r="N12" s="205">
        <f>IF(L12&gt;0,IF(E19=0,0,IF(E19&lt;0.7,0.7,E19)),0)</f>
        <v>0</v>
      </c>
      <c r="O12" s="26"/>
      <c r="P12" s="31">
        <f>L12*M12*N12</f>
        <v>0</v>
      </c>
      <c r="Q12" s="329">
        <f>IF(P12&gt;0,'HAW-Kennwerte'!AA23,0)</f>
        <v>0</v>
      </c>
      <c r="R12" s="329"/>
      <c r="S12" s="329"/>
      <c r="U12" s="203"/>
      <c r="V12" s="1200"/>
      <c r="W12" s="1201"/>
      <c r="X12" s="1202"/>
    </row>
    <row r="13" spans="1:24" s="19" customFormat="1" ht="11.5" customHeight="1">
      <c r="A13" s="16"/>
      <c r="B13" s="56" t="s">
        <v>106</v>
      </c>
      <c r="F13" s="18"/>
      <c r="H13" s="204" t="s">
        <v>110</v>
      </c>
      <c r="I13" s="17"/>
      <c r="L13" s="766">
        <f>IF($E$18&gt;0,$E$18,0)</f>
        <v>0</v>
      </c>
      <c r="M13" s="30">
        <f>IF(L13&gt;0,'HAW-Kennwerte'!X23,0)</f>
        <v>0</v>
      </c>
      <c r="N13" s="205">
        <f>IF(L13&gt;0,IF(E19=0,0,IF(E19&lt;0.7,0.7,E19)),0)</f>
        <v>0</v>
      </c>
      <c r="O13" s="22"/>
      <c r="P13" s="31">
        <f>L13*M13*N13</f>
        <v>0</v>
      </c>
      <c r="Q13" s="329">
        <f>IF(P13&gt;0,'HAW-Kennwerte'!AA23,0)</f>
        <v>0</v>
      </c>
      <c r="R13" s="329"/>
      <c r="S13" s="329"/>
      <c r="U13" s="203"/>
      <c r="V13" s="1200"/>
      <c r="W13" s="1201"/>
      <c r="X13" s="1202"/>
    </row>
    <row r="14" spans="1:24" s="19" customFormat="1" ht="11.5" customHeight="1">
      <c r="A14" s="16"/>
      <c r="C14" s="56"/>
      <c r="F14" s="18"/>
      <c r="H14" s="203" t="s">
        <v>20</v>
      </c>
      <c r="I14" s="17"/>
      <c r="K14" s="112"/>
      <c r="L14" s="32"/>
      <c r="M14" s="17"/>
      <c r="N14" s="32"/>
      <c r="O14" s="33"/>
      <c r="P14" s="34">
        <f>SUMPRODUCT(P6:P13,Q6:Q13)</f>
        <v>0</v>
      </c>
      <c r="Q14" s="330"/>
      <c r="R14" s="330"/>
      <c r="S14" s="330"/>
      <c r="U14" s="203"/>
      <c r="V14" s="1200"/>
      <c r="W14" s="1201"/>
      <c r="X14" s="1202"/>
    </row>
    <row r="15" spans="1:24" s="19" customFormat="1" ht="10.5">
      <c r="A15" s="16"/>
      <c r="B15" s="17"/>
      <c r="C15" s="17"/>
      <c r="D15" s="246" t="s">
        <v>73</v>
      </c>
      <c r="E15" s="407"/>
      <c r="F15" s="18"/>
      <c r="H15" s="17"/>
      <c r="I15" s="17"/>
      <c r="K15" s="35"/>
      <c r="L15" s="36"/>
      <c r="M15" s="17"/>
      <c r="N15" s="35"/>
      <c r="O15" s="35"/>
      <c r="P15" s="38">
        <f>SUM(P6:P14)</f>
        <v>0</v>
      </c>
      <c r="Q15" s="330"/>
      <c r="R15" s="330"/>
      <c r="S15" s="330"/>
      <c r="U15" s="203"/>
      <c r="V15" s="1228"/>
      <c r="W15" s="1229"/>
      <c r="X15" s="1230"/>
    </row>
    <row r="16" spans="1:24" s="19" customFormat="1" ht="11.25" customHeight="1">
      <c r="A16" s="16"/>
      <c r="B16" s="17"/>
      <c r="D16" s="223" t="s">
        <v>75</v>
      </c>
      <c r="E16" s="407"/>
      <c r="F16" s="18"/>
      <c r="H16" s="17"/>
      <c r="I16" s="17"/>
      <c r="K16" s="35"/>
      <c r="L16" s="36"/>
      <c r="M16" s="17"/>
      <c r="N16" s="35"/>
      <c r="O16" s="35"/>
      <c r="Q16" s="330"/>
      <c r="R16" s="330"/>
      <c r="S16" s="330"/>
      <c r="U16" s="203"/>
      <c r="V16" s="1228"/>
      <c r="W16" s="1229"/>
      <c r="X16" s="1230"/>
    </row>
    <row r="17" spans="1:24" s="19" customFormat="1">
      <c r="A17" s="16"/>
      <c r="B17" s="17"/>
      <c r="C17" s="17"/>
      <c r="D17" s="223" t="s">
        <v>185</v>
      </c>
      <c r="E17" s="764">
        <f>L84</f>
        <v>0</v>
      </c>
      <c r="F17" s="18"/>
      <c r="H17" s="24" t="s">
        <v>12</v>
      </c>
      <c r="I17" s="17"/>
      <c r="K17" s="35"/>
      <c r="L17" s="36"/>
      <c r="M17" s="17"/>
      <c r="N17" s="35"/>
      <c r="O17" s="35"/>
      <c r="P17" s="37"/>
      <c r="Q17" s="330"/>
      <c r="R17" s="330"/>
      <c r="S17" s="330"/>
      <c r="U17" s="203"/>
      <c r="V17" s="1228"/>
      <c r="W17" s="1229"/>
      <c r="X17" s="1230"/>
    </row>
    <row r="18" spans="1:24" s="19" customFormat="1" ht="11.5" customHeight="1">
      <c r="A18" s="16"/>
      <c r="B18" s="17"/>
      <c r="C18" s="17"/>
      <c r="D18" s="223" t="s">
        <v>186</v>
      </c>
      <c r="E18" s="764">
        <f>Q84</f>
        <v>0</v>
      </c>
      <c r="F18" s="18"/>
      <c r="H18" s="203" t="s">
        <v>0</v>
      </c>
      <c r="I18" s="17"/>
      <c r="L18" s="39">
        <f>E20/100</f>
        <v>0</v>
      </c>
      <c r="M18" s="30">
        <f>IF(N46=0,IF(E20&gt;0,'HAW-Kennwerte'!F23,0),'HAW-Kennwerte'!E23*81600/N46)</f>
        <v>0</v>
      </c>
      <c r="N18" s="205">
        <f>IF(L18&gt;0,IF(E21="ja",'HAW-Kennwerte'!G23,1),0)</f>
        <v>0</v>
      </c>
      <c r="O18" s="205"/>
      <c r="P18" s="23">
        <f>L18*M18*N18</f>
        <v>0</v>
      </c>
      <c r="Q18" s="328">
        <f>IF(P18&gt;0,Q6,0)</f>
        <v>0</v>
      </c>
      <c r="R18" s="328"/>
      <c r="S18" s="328"/>
      <c r="U18" s="203"/>
      <c r="V18" s="1200"/>
      <c r="W18" s="1201"/>
      <c r="X18" s="1202"/>
    </row>
    <row r="19" spans="1:24" s="19" customFormat="1" ht="11.5" customHeight="1">
      <c r="A19" s="16"/>
      <c r="B19" s="17"/>
      <c r="C19" s="17"/>
      <c r="D19" s="53" t="s">
        <v>27</v>
      </c>
      <c r="E19" s="688">
        <f>S88</f>
        <v>0</v>
      </c>
      <c r="F19" s="18"/>
      <c r="H19" s="203" t="s">
        <v>1</v>
      </c>
      <c r="I19" s="17"/>
      <c r="L19" s="39">
        <f>IF(M19=0,0,L18)</f>
        <v>0</v>
      </c>
      <c r="M19" s="30">
        <f>IF(N46=0,IF(E20=0,0,IF(P7=0,0,'HAW-Kennwerte'!P23)),'HAW-Kennwerte'!O23*81600/N46)</f>
        <v>0</v>
      </c>
      <c r="N19" s="25"/>
      <c r="O19" s="25"/>
      <c r="P19" s="27">
        <f>L19*M19</f>
        <v>0</v>
      </c>
      <c r="Q19" s="329">
        <f>IF(P19&gt;0,Q$7,0)</f>
        <v>0</v>
      </c>
      <c r="R19" s="329"/>
      <c r="S19" s="329"/>
      <c r="U19" s="203"/>
      <c r="V19" s="1200"/>
      <c r="W19" s="1201"/>
      <c r="X19" s="1202"/>
    </row>
    <row r="20" spans="1:24" s="19" customFormat="1" ht="11.5" customHeight="1">
      <c r="A20" s="16"/>
      <c r="B20" s="17"/>
      <c r="C20" s="17"/>
      <c r="D20" s="53" t="s">
        <v>28</v>
      </c>
      <c r="E20" s="55">
        <f>H47</f>
        <v>0</v>
      </c>
      <c r="F20" s="18"/>
      <c r="H20" s="203" t="s">
        <v>159</v>
      </c>
      <c r="I20" s="17"/>
      <c r="L20" s="39"/>
      <c r="M20" s="30"/>
      <c r="N20" s="21"/>
      <c r="O20" s="25"/>
      <c r="P20" s="52">
        <f>L20*M20</f>
        <v>0</v>
      </c>
      <c r="Q20" s="329"/>
      <c r="R20" s="329"/>
      <c r="S20" s="329"/>
      <c r="U20" s="203"/>
      <c r="V20" s="1228"/>
      <c r="W20" s="1229"/>
      <c r="X20" s="1230"/>
    </row>
    <row r="21" spans="1:24" s="19" customFormat="1" ht="11.5" customHeight="1">
      <c r="A21" s="16"/>
      <c r="B21" s="17"/>
      <c r="C21" s="17"/>
      <c r="D21" s="223" t="s">
        <v>247</v>
      </c>
      <c r="E21" s="815" t="s">
        <v>248</v>
      </c>
      <c r="F21" s="18"/>
      <c r="H21" s="203" t="s">
        <v>20</v>
      </c>
      <c r="I21" s="17"/>
      <c r="P21" s="34">
        <f>SUMPRODUCT(P18:P20,Q18:Q20)</f>
        <v>0</v>
      </c>
      <c r="Q21" s="329"/>
      <c r="R21" s="329"/>
      <c r="S21" s="329"/>
      <c r="U21" s="203"/>
      <c r="V21" s="1200"/>
      <c r="W21" s="1201"/>
      <c r="X21" s="1202"/>
    </row>
    <row r="22" spans="1:24" s="19" customFormat="1" ht="11.5" customHeight="1">
      <c r="A22" s="16"/>
      <c r="B22" s="17"/>
      <c r="C22" s="2"/>
      <c r="F22" s="18"/>
      <c r="I22" s="17"/>
      <c r="K22" s="17"/>
      <c r="L22" s="213"/>
      <c r="M22" s="17"/>
      <c r="N22" s="112"/>
      <c r="O22" s="212"/>
      <c r="P22" s="38">
        <f>SUM(P18:P21)</f>
        <v>0</v>
      </c>
      <c r="Q22" s="28"/>
      <c r="R22" s="28"/>
      <c r="S22" s="28"/>
      <c r="U22" s="203"/>
      <c r="V22" s="1228"/>
      <c r="W22" s="1229"/>
      <c r="X22" s="1230"/>
    </row>
    <row r="23" spans="1:24" s="19" customFormat="1" ht="11.5" customHeight="1">
      <c r="A23" s="16"/>
      <c r="B23" s="17"/>
      <c r="C23" s="17"/>
      <c r="D23" s="223" t="s">
        <v>127</v>
      </c>
      <c r="E23" s="407">
        <f>P103</f>
        <v>0</v>
      </c>
      <c r="F23" s="18"/>
      <c r="I23" s="17"/>
      <c r="J23" s="112"/>
      <c r="K23" s="17"/>
      <c r="L23" s="44"/>
      <c r="M23" s="17"/>
      <c r="N23" s="112"/>
      <c r="O23" s="212"/>
      <c r="R23" s="40"/>
      <c r="S23" s="28"/>
      <c r="U23" s="203"/>
      <c r="V23" s="1228"/>
      <c r="W23" s="1229"/>
      <c r="X23" s="1230"/>
    </row>
    <row r="24" spans="1:24" ht="12.65" customHeight="1">
      <c r="A24" s="13"/>
      <c r="B24" s="2"/>
      <c r="C24" s="17"/>
      <c r="D24" s="53" t="s">
        <v>13</v>
      </c>
      <c r="E24" s="408" t="str">
        <f>P104</f>
        <v/>
      </c>
      <c r="F24" s="14"/>
      <c r="I24" s="24" t="s">
        <v>15</v>
      </c>
      <c r="K24" s="17"/>
      <c r="L24" s="41"/>
      <c r="M24" s="2"/>
      <c r="P24" s="43"/>
      <c r="Q24" s="1185" t="s">
        <v>789</v>
      </c>
      <c r="R24" s="12"/>
      <c r="S24" s="28"/>
      <c r="V24" s="1231"/>
      <c r="W24" s="1232"/>
      <c r="X24" s="1174"/>
    </row>
    <row r="25" spans="1:24" ht="11.15" customHeight="1">
      <c r="A25" s="13"/>
      <c r="B25" s="2"/>
      <c r="D25" s="53" t="s">
        <v>14</v>
      </c>
      <c r="E25" s="688">
        <f>IF(E23&gt;0,IF(E24="",0,1-E24),0)</f>
        <v>0</v>
      </c>
      <c r="F25" s="14"/>
      <c r="I25" s="1169" t="s">
        <v>293</v>
      </c>
      <c r="J25" s="385"/>
      <c r="K25" s="385"/>
      <c r="L25" s="386"/>
      <c r="M25" s="387"/>
      <c r="N25" s="388"/>
      <c r="P25" s="404"/>
      <c r="Q25" s="720"/>
      <c r="R25" s="813"/>
      <c r="S25" s="831"/>
      <c r="V25" s="1231"/>
      <c r="W25" s="1232"/>
      <c r="X25" s="1174"/>
    </row>
    <row r="26" spans="1:24">
      <c r="A26" s="13"/>
      <c r="B26" s="2"/>
      <c r="C26" s="2"/>
      <c r="D26" s="2"/>
      <c r="E26" s="2"/>
      <c r="F26" s="14"/>
      <c r="I26" s="1170"/>
      <c r="J26" s="389"/>
      <c r="K26" s="389"/>
      <c r="L26" s="390"/>
      <c r="M26" s="389"/>
      <c r="N26" s="391"/>
      <c r="P26" s="405"/>
      <c r="Q26" s="720"/>
      <c r="R26" s="813"/>
      <c r="S26" s="813"/>
      <c r="V26" s="1231"/>
      <c r="W26" s="1232"/>
      <c r="X26" s="1174"/>
    </row>
    <row r="27" spans="1:24" s="19" customFormat="1" ht="11.5" customHeight="1">
      <c r="A27" s="16"/>
      <c r="B27" s="17"/>
      <c r="C27" s="53" t="s">
        <v>29</v>
      </c>
      <c r="D27" s="1367">
        <f>HAW!D24</f>
        <v>0</v>
      </c>
      <c r="E27" s="1368"/>
      <c r="F27" s="18"/>
      <c r="I27" s="1170"/>
      <c r="J27" s="392"/>
      <c r="K27" s="392"/>
      <c r="L27" s="392"/>
      <c r="M27" s="392"/>
      <c r="N27" s="393"/>
      <c r="O27" s="35"/>
      <c r="P27" s="405"/>
      <c r="Q27" s="721"/>
      <c r="R27" s="814"/>
      <c r="S27" s="814"/>
      <c r="U27" s="203"/>
      <c r="V27" s="1228"/>
      <c r="W27" s="1229"/>
      <c r="X27" s="1230"/>
    </row>
    <row r="28" spans="1:24" s="19" customFormat="1" ht="11.5" customHeight="1">
      <c r="A28" s="16"/>
      <c r="B28" s="17"/>
      <c r="C28" s="53" t="s">
        <v>30</v>
      </c>
      <c r="D28" s="1369">
        <f>HAW!D25</f>
        <v>0</v>
      </c>
      <c r="E28" s="1370"/>
      <c r="F28" s="18"/>
      <c r="I28" s="1170"/>
      <c r="J28" s="392"/>
      <c r="K28" s="392"/>
      <c r="L28" s="392"/>
      <c r="M28" s="392"/>
      <c r="N28" s="392"/>
      <c r="P28" s="405"/>
      <c r="Q28" s="721"/>
      <c r="R28" s="814"/>
      <c r="S28" s="814"/>
      <c r="U28" s="203"/>
      <c r="V28" s="1228"/>
      <c r="W28" s="1229"/>
      <c r="X28" s="1230"/>
    </row>
    <row r="29" spans="1:24" s="19" customFormat="1" ht="11.5" customHeight="1">
      <c r="A29" s="102"/>
      <c r="B29" s="103"/>
      <c r="C29" s="103"/>
      <c r="D29" s="103"/>
      <c r="E29" s="103"/>
      <c r="F29" s="104"/>
      <c r="I29" s="1170"/>
      <c r="J29" s="392"/>
      <c r="K29" s="392"/>
      <c r="L29" s="392"/>
      <c r="M29" s="392"/>
      <c r="N29" s="392"/>
      <c r="P29" s="406"/>
      <c r="Q29" s="721"/>
      <c r="R29" s="814"/>
      <c r="S29" s="814"/>
      <c r="U29" s="203"/>
      <c r="V29" s="1228"/>
      <c r="W29" s="1229"/>
      <c r="X29" s="1230"/>
    </row>
    <row r="30" spans="1:24" s="19" customFormat="1" ht="11.25" customHeight="1">
      <c r="A30" s="17"/>
      <c r="I30" s="17"/>
      <c r="P30" s="38">
        <f>SUM(P25:P29)</f>
        <v>0</v>
      </c>
      <c r="Q30" s="40"/>
      <c r="R30" s="40"/>
      <c r="S30" s="40"/>
      <c r="U30" s="203"/>
      <c r="V30" s="1228"/>
      <c r="W30" s="1229"/>
      <c r="X30" s="1230"/>
    </row>
    <row r="31" spans="1:24" ht="11.25" customHeight="1">
      <c r="A31" s="2"/>
      <c r="B31" s="2"/>
      <c r="C31" s="2"/>
      <c r="H31" s="106"/>
      <c r="I31" s="224"/>
      <c r="J31" s="225"/>
      <c r="K31" s="224"/>
      <c r="L31" s="226"/>
      <c r="M31" s="225"/>
      <c r="N31" s="107"/>
      <c r="O31" s="107"/>
      <c r="P31" s="227"/>
      <c r="Q31" s="50"/>
      <c r="R31" s="50"/>
      <c r="S31" s="50"/>
      <c r="V31" s="1231"/>
      <c r="W31" s="1232"/>
      <c r="X31" s="1174"/>
    </row>
    <row r="32" spans="1:24" ht="11.25" customHeight="1">
      <c r="A32" s="2"/>
      <c r="B32" s="2"/>
      <c r="C32" s="2"/>
      <c r="I32" s="47"/>
      <c r="J32" s="24"/>
      <c r="K32" s="47"/>
      <c r="L32" s="48"/>
      <c r="M32" s="24"/>
      <c r="N32" s="49"/>
      <c r="O32" s="49"/>
      <c r="P32" s="50"/>
      <c r="Q32" s="50"/>
      <c r="R32" s="50"/>
      <c r="S32" s="50"/>
      <c r="V32" s="1231"/>
      <c r="W32" s="1232"/>
      <c r="X32" s="1174"/>
    </row>
    <row r="33" spans="1:24" ht="50.15" customHeight="1" thickBot="1">
      <c r="A33" s="2"/>
      <c r="B33" s="2"/>
      <c r="C33" s="2"/>
      <c r="D33" s="2"/>
      <c r="F33" s="219" t="s">
        <v>16</v>
      </c>
      <c r="G33" s="2"/>
      <c r="H33" s="220" t="s">
        <v>0</v>
      </c>
      <c r="I33" s="220" t="s">
        <v>1</v>
      </c>
      <c r="J33" s="221" t="s">
        <v>197</v>
      </c>
      <c r="K33" s="221" t="s">
        <v>159</v>
      </c>
      <c r="L33" s="221" t="s">
        <v>198</v>
      </c>
      <c r="M33" s="221" t="s">
        <v>22</v>
      </c>
      <c r="N33" s="220" t="s">
        <v>20</v>
      </c>
      <c r="O33" s="221" t="s">
        <v>199</v>
      </c>
      <c r="T33" s="77"/>
      <c r="V33" s="1231"/>
      <c r="W33" s="1232"/>
      <c r="X33" s="1174"/>
    </row>
    <row r="34" spans="1:24" ht="17.149999999999999" customHeight="1" thickBot="1">
      <c r="B34" s="2"/>
      <c r="C34" s="2"/>
      <c r="D34" s="2"/>
      <c r="G34" s="2"/>
      <c r="H34" s="222">
        <f>P6+P18+SUMIF(Q25:Q29,H33,P25:P29)</f>
        <v>0</v>
      </c>
      <c r="I34" s="222">
        <f>IFERROR(P7+P19+SUMIF(Q25:Q29,I33,P25:P29),"")</f>
        <v>0</v>
      </c>
      <c r="J34" s="422"/>
      <c r="K34" s="422"/>
      <c r="L34" s="222">
        <f>P10+P11+SUMIF(Q25:Q29,L33,P25:P29)</f>
        <v>0</v>
      </c>
      <c r="M34" s="222">
        <f>P12+P13+SUMIF(Q25:Q29,M33,P25:P29)</f>
        <v>0</v>
      </c>
      <c r="N34" s="222">
        <f>P14+P21+SUMIF(Q25:Q29,N33,P25:P29)</f>
        <v>0</v>
      </c>
      <c r="O34" s="222">
        <f>SUMIF(Q25:Q29,O33,P25:P29)</f>
        <v>0</v>
      </c>
      <c r="P34" s="331">
        <f>SUM(H34:O34)</f>
        <v>0</v>
      </c>
      <c r="Q34" s="101"/>
      <c r="R34" s="101"/>
      <c r="S34" s="101"/>
      <c r="T34" s="77"/>
      <c r="V34" s="1231"/>
      <c r="W34" s="1232"/>
      <c r="X34" s="1174"/>
    </row>
    <row r="35" spans="1:24">
      <c r="A35" s="106"/>
      <c r="B35" s="105"/>
      <c r="C35" s="46"/>
      <c r="D35" s="46"/>
      <c r="E35" s="46"/>
      <c r="F35" s="46"/>
      <c r="G35" s="106"/>
      <c r="H35" s="106"/>
      <c r="I35" s="106"/>
      <c r="J35" s="107"/>
      <c r="K35" s="106"/>
      <c r="L35" s="107"/>
      <c r="M35" s="106"/>
      <c r="N35" s="107"/>
      <c r="O35" s="107"/>
      <c r="P35" s="107"/>
      <c r="Q35" s="107"/>
      <c r="R35" s="49"/>
      <c r="S35" s="49"/>
      <c r="T35" s="77"/>
      <c r="V35" s="1231"/>
      <c r="W35" s="1232"/>
      <c r="X35" s="1174"/>
    </row>
    <row r="36" spans="1:24">
      <c r="S36" s="49"/>
      <c r="T36" s="77"/>
      <c r="V36" s="1231"/>
      <c r="W36" s="1232"/>
      <c r="X36" s="1174"/>
    </row>
    <row r="37" spans="1:24">
      <c r="A37" s="7"/>
      <c r="B37" s="8"/>
      <c r="C37" s="8"/>
      <c r="D37" s="8"/>
      <c r="E37" s="8"/>
      <c r="F37" s="8"/>
      <c r="G37" s="8"/>
      <c r="H37" s="8"/>
      <c r="I37" s="8"/>
      <c r="J37" s="8"/>
      <c r="K37" s="8"/>
      <c r="L37" s="8"/>
      <c r="M37" s="8"/>
      <c r="N37" s="108"/>
      <c r="O37" s="108"/>
      <c r="P37" s="109"/>
      <c r="S37" s="49"/>
      <c r="T37" s="77"/>
      <c r="V37" s="1231"/>
      <c r="W37" s="1232"/>
      <c r="X37" s="1174"/>
    </row>
    <row r="38" spans="1:24" ht="10.5">
      <c r="A38" s="13"/>
      <c r="E38" s="110" t="s">
        <v>70</v>
      </c>
      <c r="F38" s="2"/>
      <c r="G38" s="2"/>
      <c r="H38" s="2"/>
      <c r="I38" s="2"/>
      <c r="J38" s="2"/>
      <c r="K38" s="238" t="s">
        <v>69</v>
      </c>
      <c r="M38" s="2"/>
      <c r="N38" s="49"/>
      <c r="O38" s="49"/>
      <c r="P38" s="111"/>
      <c r="S38" s="49"/>
      <c r="T38" s="77"/>
      <c r="V38" s="1231"/>
      <c r="W38" s="1232"/>
      <c r="X38" s="1174"/>
    </row>
    <row r="39" spans="1:24" ht="2.5" customHeight="1">
      <c r="A39" s="13"/>
      <c r="E39" s="110"/>
      <c r="F39" s="2"/>
      <c r="G39" s="2"/>
      <c r="H39" s="46"/>
      <c r="I39" s="2"/>
      <c r="J39" s="2"/>
      <c r="K39" s="2"/>
      <c r="L39" s="2"/>
      <c r="M39" s="2"/>
      <c r="N39" s="49"/>
      <c r="O39" s="49"/>
      <c r="P39" s="111"/>
      <c r="S39" s="49"/>
      <c r="T39" s="77"/>
      <c r="V39" s="1231"/>
      <c r="W39" s="1232"/>
      <c r="X39" s="1174"/>
    </row>
    <row r="40" spans="1:24" ht="11.15" customHeight="1">
      <c r="A40" s="13"/>
      <c r="E40" s="207">
        <f>IF($E$44&gt;2023,$E$44-4,"")</f>
        <v>2021</v>
      </c>
      <c r="H40" s="409"/>
      <c r="I40" s="2" t="s">
        <v>25</v>
      </c>
      <c r="J40" s="2"/>
      <c r="K40" s="2"/>
      <c r="L40" s="49"/>
      <c r="M40" s="2"/>
      <c r="N40" s="49"/>
      <c r="O40" s="49"/>
      <c r="P40" s="111"/>
      <c r="S40" s="49"/>
      <c r="T40" s="77"/>
      <c r="V40" s="1231"/>
      <c r="W40" s="1232"/>
      <c r="X40" s="1174"/>
    </row>
    <row r="41" spans="1:24" ht="11.15" customHeight="1">
      <c r="A41" s="13"/>
      <c r="E41" s="207">
        <f>IF($E$44&gt;2023,$E$44-3,"")</f>
        <v>2022</v>
      </c>
      <c r="H41" s="409"/>
      <c r="I41" s="228" t="s">
        <v>25</v>
      </c>
      <c r="J41" s="2"/>
      <c r="K41" s="2"/>
      <c r="L41" s="49"/>
      <c r="M41" s="2"/>
      <c r="N41" s="49"/>
      <c r="O41" s="49"/>
      <c r="P41" s="111"/>
      <c r="S41" s="49"/>
      <c r="T41" s="77"/>
      <c r="V41" s="1231"/>
      <c r="W41" s="1232"/>
      <c r="X41" s="1174"/>
    </row>
    <row r="42" spans="1:24" ht="11.15" customHeight="1">
      <c r="A42" s="13"/>
      <c r="E42" s="207">
        <f>IF($E$44&gt;2023,$E$44-2,"")</f>
        <v>2023</v>
      </c>
      <c r="H42" s="409"/>
      <c r="I42" s="228" t="s">
        <v>25</v>
      </c>
      <c r="J42" s="2"/>
      <c r="K42" s="2"/>
      <c r="L42" s="49"/>
      <c r="M42" s="2"/>
      <c r="N42" s="49"/>
      <c r="O42" s="49"/>
      <c r="P42" s="111"/>
      <c r="S42" s="49"/>
      <c r="T42" s="77"/>
      <c r="V42" s="1231"/>
      <c r="W42" s="1232"/>
      <c r="X42" s="1174"/>
    </row>
    <row r="43" spans="1:24" ht="11.15" customHeight="1">
      <c r="A43" s="13"/>
      <c r="E43" s="207">
        <f>IF($E$44&gt;2023,$E$44-1,"")</f>
        <v>2024</v>
      </c>
      <c r="H43" s="409"/>
      <c r="I43" s="228" t="s">
        <v>25</v>
      </c>
      <c r="J43" s="2"/>
      <c r="M43" s="207" t="s">
        <v>56</v>
      </c>
      <c r="N43" s="247">
        <f>'HAW-Kennwerte'!E29</f>
        <v>81600</v>
      </c>
      <c r="O43" s="49"/>
      <c r="P43" s="111"/>
      <c r="S43" s="49"/>
      <c r="T43" s="77"/>
      <c r="V43" s="1231"/>
      <c r="W43" s="1232"/>
      <c r="X43" s="1174"/>
    </row>
    <row r="44" spans="1:24" ht="11.15" customHeight="1">
      <c r="A44" s="13"/>
      <c r="D44" s="236" t="s">
        <v>184</v>
      </c>
      <c r="E44" s="717">
        <v>2025</v>
      </c>
      <c r="H44" s="409"/>
      <c r="I44" s="228" t="s">
        <v>25</v>
      </c>
      <c r="J44" s="49"/>
      <c r="M44" s="207" t="s">
        <v>119</v>
      </c>
      <c r="N44" s="475"/>
      <c r="O44" s="49"/>
      <c r="P44" s="111"/>
      <c r="S44" s="49"/>
      <c r="T44" s="77"/>
      <c r="V44" s="1231"/>
      <c r="W44" s="1232"/>
      <c r="X44" s="1174"/>
    </row>
    <row r="45" spans="1:24" ht="2.5" customHeight="1">
      <c r="A45" s="13"/>
      <c r="E45" s="2"/>
      <c r="F45" s="2"/>
      <c r="H45" s="2"/>
      <c r="I45" s="2"/>
      <c r="J45" s="49"/>
      <c r="M45" s="2"/>
      <c r="N45" s="2"/>
      <c r="O45" s="49"/>
      <c r="P45" s="111"/>
      <c r="S45" s="49"/>
      <c r="T45" s="77"/>
      <c r="V45" s="1231"/>
      <c r="W45" s="1232"/>
      <c r="X45" s="1174"/>
    </row>
    <row r="46" spans="1:24">
      <c r="A46" s="13"/>
      <c r="E46" s="2"/>
      <c r="F46" s="2"/>
      <c r="G46" s="116" t="s">
        <v>33</v>
      </c>
      <c r="H46" s="409"/>
      <c r="I46" s="2"/>
      <c r="J46" s="49"/>
      <c r="M46" s="116" t="s">
        <v>33</v>
      </c>
      <c r="N46" s="409"/>
      <c r="O46" s="49"/>
      <c r="P46" s="111"/>
      <c r="S46" s="49"/>
      <c r="T46" s="77"/>
      <c r="V46" s="1231"/>
      <c r="W46" s="1232"/>
      <c r="X46" s="1174"/>
    </row>
    <row r="47" spans="1:24" ht="12" customHeight="1">
      <c r="A47" s="13"/>
      <c r="E47" s="2"/>
      <c r="F47" s="2"/>
      <c r="G47" s="2"/>
      <c r="H47" s="54">
        <f>IF(H46=0,(H44*1.02*5+H43*1.04*4+H42*1.06*3+H41*1.08*2+H40*1.1)/15,H46)</f>
        <v>0</v>
      </c>
      <c r="I47" s="2"/>
      <c r="J47" s="49"/>
      <c r="M47" s="2"/>
      <c r="N47" s="54">
        <f>IF(N46&gt;0,N46,'HAW-Kennwerte'!E31)</f>
        <v>81600</v>
      </c>
      <c r="O47" s="49"/>
      <c r="P47" s="111"/>
      <c r="S47" s="49"/>
      <c r="T47" s="77"/>
      <c r="V47" s="1200"/>
      <c r="W47" s="1201"/>
      <c r="X47" s="1202"/>
    </row>
    <row r="48" spans="1:24">
      <c r="A48" s="45"/>
      <c r="B48" s="46"/>
      <c r="C48" s="46"/>
      <c r="D48" s="46"/>
      <c r="E48" s="46"/>
      <c r="F48" s="46"/>
      <c r="G48" s="46"/>
      <c r="H48" s="46"/>
      <c r="I48" s="46"/>
      <c r="J48" s="119"/>
      <c r="K48" s="46"/>
      <c r="L48" s="119"/>
      <c r="M48" s="46"/>
      <c r="N48" s="119"/>
      <c r="O48" s="119"/>
      <c r="P48" s="120"/>
      <c r="S48" s="49"/>
      <c r="T48" s="77"/>
      <c r="V48" s="1231"/>
      <c r="W48" s="1232"/>
      <c r="X48" s="1174"/>
    </row>
    <row r="49" spans="1:24" ht="11.25" customHeight="1">
      <c r="B49" s="117" t="s">
        <v>34</v>
      </c>
      <c r="S49" s="49"/>
      <c r="T49" s="2"/>
      <c r="V49" s="1231"/>
      <c r="W49" s="1232"/>
      <c r="X49" s="1174"/>
    </row>
    <row r="50" spans="1:24">
      <c r="A50" s="2"/>
      <c r="B50" s="106"/>
      <c r="C50" s="209"/>
      <c r="D50" s="106"/>
      <c r="E50" s="106"/>
      <c r="F50" s="106"/>
      <c r="G50" s="106"/>
      <c r="H50" s="106"/>
      <c r="I50" s="106"/>
      <c r="J50" s="106"/>
      <c r="K50" s="107"/>
      <c r="L50" s="106"/>
      <c r="M50" s="107"/>
      <c r="N50" s="106"/>
      <c r="O50" s="107"/>
      <c r="P50" s="107"/>
      <c r="Q50" s="107"/>
      <c r="R50" s="49"/>
      <c r="S50" s="49"/>
      <c r="T50" s="49"/>
      <c r="V50" s="1231"/>
      <c r="W50" s="1232"/>
      <c r="X50" s="1174"/>
    </row>
    <row r="51" spans="1:24">
      <c r="A51" s="2"/>
      <c r="J51" s="1"/>
      <c r="K51" s="42"/>
      <c r="L51" s="1"/>
      <c r="M51" s="42"/>
      <c r="N51" s="1"/>
      <c r="Q51" s="201" t="str">
        <f>HAW!B28</f>
        <v>Kennwertverfahren NRW für HAW; HIS-Institut für Hochschulentwicklung e.V. (24.04.2026)</v>
      </c>
      <c r="R51" s="250"/>
      <c r="S51" s="2"/>
      <c r="T51" s="2"/>
      <c r="V51" s="1231"/>
      <c r="W51" s="1232"/>
      <c r="X51" s="1174"/>
    </row>
    <row r="52" spans="1:24">
      <c r="A52" s="2"/>
      <c r="T52" s="121"/>
      <c r="V52" s="1231"/>
      <c r="W52" s="1232"/>
      <c r="X52" s="1174"/>
    </row>
    <row r="53" spans="1:24">
      <c r="A53" s="2"/>
      <c r="T53" s="121"/>
      <c r="V53" s="1231"/>
      <c r="W53" s="1232"/>
      <c r="X53" s="1174"/>
    </row>
    <row r="54" spans="1:24" ht="10.5">
      <c r="A54" s="2"/>
      <c r="B54" s="394" t="str">
        <f>IF(B8=0,B7,CONCATENATE(B7,B8))</f>
        <v>Hochschule …</v>
      </c>
      <c r="C54" s="395"/>
      <c r="D54" s="395"/>
      <c r="E54" s="395"/>
      <c r="F54" s="395"/>
      <c r="G54" s="395"/>
      <c r="H54" s="395"/>
      <c r="I54" s="395"/>
      <c r="J54" s="396"/>
      <c r="K54" s="395"/>
      <c r="L54" s="396"/>
      <c r="M54" s="395"/>
      <c r="N54" s="396"/>
      <c r="O54" s="396"/>
      <c r="P54" s="396"/>
      <c r="Q54" s="396"/>
      <c r="R54" s="396"/>
      <c r="S54" s="396"/>
      <c r="T54" s="121"/>
      <c r="V54" s="1231"/>
      <c r="W54" s="1232"/>
      <c r="X54" s="1174"/>
    </row>
    <row r="55" spans="1:24">
      <c r="A55" s="2"/>
      <c r="B55" s="395" t="str">
        <f>B9</f>
        <v>[Fakultät/Fachbereich]</v>
      </c>
      <c r="C55" s="395"/>
      <c r="D55" s="395"/>
      <c r="E55" s="395"/>
      <c r="F55" s="395"/>
      <c r="G55" s="395"/>
      <c r="H55" s="395"/>
      <c r="I55" s="395"/>
      <c r="J55" s="396"/>
      <c r="K55" s="395"/>
      <c r="L55" s="396"/>
      <c r="M55" s="395"/>
      <c r="N55" s="396"/>
      <c r="O55" s="396"/>
      <c r="P55" s="396"/>
      <c r="Q55" s="396"/>
      <c r="R55" s="396"/>
      <c r="S55" s="396"/>
      <c r="T55" s="121"/>
      <c r="V55" s="1231"/>
      <c r="W55" s="1232"/>
      <c r="X55" s="1174"/>
    </row>
    <row r="56" spans="1:24">
      <c r="A56" s="2"/>
      <c r="B56" s="395" t="str">
        <f>B10</f>
        <v>[Department, Institut o.a.]</v>
      </c>
      <c r="C56" s="395"/>
      <c r="D56" s="395"/>
      <c r="E56" s="395"/>
      <c r="F56" s="395"/>
      <c r="G56" s="395"/>
      <c r="H56" s="395"/>
      <c r="I56" s="395"/>
      <c r="J56" s="396"/>
      <c r="K56" s="395"/>
      <c r="L56" s="396"/>
      <c r="M56" s="395"/>
      <c r="N56" s="396"/>
      <c r="O56" s="396"/>
      <c r="P56" s="396"/>
      <c r="Q56" s="396"/>
      <c r="R56" s="396"/>
      <c r="S56" s="396"/>
      <c r="T56" s="121"/>
      <c r="V56" s="1231"/>
      <c r="W56" s="1232"/>
      <c r="X56" s="1174"/>
    </row>
    <row r="57" spans="1:24">
      <c r="A57" s="2"/>
      <c r="B57" s="395" t="str">
        <f>CONCATENATE(B12,": ",B13)</f>
        <v>Lehr- und Forschungsbereich: Ernährungswissenschaften</v>
      </c>
      <c r="C57" s="395"/>
      <c r="D57" s="395"/>
      <c r="E57" s="395"/>
      <c r="F57" s="395"/>
      <c r="G57" s="395"/>
      <c r="H57" s="395"/>
      <c r="I57" s="395"/>
      <c r="J57" s="396"/>
      <c r="K57" s="395"/>
      <c r="L57" s="396"/>
      <c r="M57" s="395"/>
      <c r="N57" s="396"/>
      <c r="O57" s="396"/>
      <c r="P57" s="396"/>
      <c r="Q57" s="396"/>
      <c r="R57" s="396"/>
      <c r="S57" s="396"/>
      <c r="T57" s="121"/>
      <c r="V57" s="1231"/>
      <c r="W57" s="1232"/>
      <c r="X57" s="1174"/>
    </row>
    <row r="58" spans="1:24">
      <c r="A58" s="2"/>
      <c r="T58" s="121"/>
      <c r="V58" s="1231"/>
      <c r="W58" s="1232"/>
      <c r="X58" s="1174"/>
    </row>
    <row r="59" spans="1:24">
      <c r="A59" s="2"/>
      <c r="B59" s="378" t="s">
        <v>95</v>
      </c>
      <c r="T59" s="121"/>
      <c r="V59" s="1231"/>
      <c r="W59" s="1232"/>
      <c r="X59" s="1174"/>
    </row>
    <row r="60" spans="1:24" s="202" customFormat="1" ht="2.25" customHeight="1">
      <c r="A60" s="110"/>
      <c r="B60" s="909"/>
      <c r="C60" s="910"/>
      <c r="D60" s="910"/>
      <c r="E60" s="910"/>
      <c r="F60" s="910"/>
      <c r="G60" s="910"/>
      <c r="H60" s="910"/>
      <c r="I60" s="910"/>
      <c r="J60" s="544"/>
      <c r="K60" s="910"/>
      <c r="L60" s="544"/>
      <c r="M60" s="910"/>
      <c r="N60" s="544"/>
      <c r="O60" s="544"/>
      <c r="P60" s="544"/>
      <c r="Q60" s="544"/>
      <c r="R60" s="544"/>
      <c r="S60" s="544"/>
      <c r="T60" s="320"/>
      <c r="V60" s="1231"/>
      <c r="W60" s="1232"/>
      <c r="X60" s="1174"/>
    </row>
    <row r="61" spans="1:24" s="202" customFormat="1" ht="10" customHeight="1">
      <c r="A61" s="206"/>
      <c r="B61" s="210"/>
      <c r="C61" s="206"/>
      <c r="D61" s="206"/>
      <c r="E61" s="206"/>
      <c r="F61" s="206"/>
      <c r="G61" s="206"/>
      <c r="H61" s="238"/>
      <c r="I61" s="238"/>
      <c r="J61" s="239"/>
      <c r="K61" s="238"/>
      <c r="L61" s="239"/>
      <c r="M61" s="238"/>
      <c r="N61" s="239"/>
      <c r="O61" s="239"/>
      <c r="P61" s="239"/>
      <c r="Q61" s="208"/>
      <c r="R61" s="208"/>
      <c r="S61" s="1166" t="s">
        <v>60</v>
      </c>
      <c r="T61" s="321"/>
      <c r="V61" s="1231"/>
      <c r="W61" s="1232"/>
      <c r="X61" s="1174"/>
    </row>
    <row r="62" spans="1:24" s="202" customFormat="1" ht="10" customHeight="1">
      <c r="A62" s="206"/>
      <c r="B62" s="210"/>
      <c r="C62" s="206"/>
      <c r="E62" s="206"/>
      <c r="F62" s="206"/>
      <c r="G62" s="206"/>
      <c r="H62" s="240" t="s">
        <v>60</v>
      </c>
      <c r="I62" s="241"/>
      <c r="J62" s="241"/>
      <c r="K62" s="240"/>
      <c r="L62" s="240"/>
      <c r="M62" s="243" t="s">
        <v>61</v>
      </c>
      <c r="N62" s="241"/>
      <c r="O62" s="240"/>
      <c r="P62" s="240"/>
      <c r="Q62" s="240"/>
      <c r="R62" s="240"/>
      <c r="S62" s="1189" t="s">
        <v>857</v>
      </c>
      <c r="T62" s="321"/>
      <c r="V62" s="1231"/>
      <c r="W62" s="1232"/>
      <c r="X62" s="1174"/>
    </row>
    <row r="63" spans="1:24" ht="10.4" customHeight="1">
      <c r="A63" s="2"/>
      <c r="B63" s="235"/>
      <c r="C63" s="204"/>
      <c r="F63" s="2"/>
      <c r="G63" s="2"/>
      <c r="H63" s="49"/>
      <c r="I63" s="2"/>
      <c r="J63" s="2"/>
      <c r="K63" s="49"/>
      <c r="L63" s="1"/>
      <c r="M63" s="244"/>
      <c r="N63" s="2"/>
      <c r="O63" s="49"/>
      <c r="P63" s="1"/>
      <c r="Q63" s="49"/>
      <c r="R63" s="49"/>
      <c r="S63" s="234"/>
      <c r="T63" s="321"/>
      <c r="V63" s="1231"/>
      <c r="W63" s="1232"/>
      <c r="X63" s="1174"/>
    </row>
    <row r="64" spans="1:24" ht="10.5">
      <c r="A64" s="2"/>
      <c r="B64" s="235"/>
      <c r="C64" s="204"/>
      <c r="E64" s="237" t="s">
        <v>66</v>
      </c>
      <c r="F64" s="2"/>
      <c r="G64" s="2"/>
      <c r="H64" s="202" t="s">
        <v>67</v>
      </c>
      <c r="I64" s="2"/>
      <c r="J64" s="2"/>
      <c r="K64" s="49"/>
      <c r="L64" s="1"/>
      <c r="M64" s="245" t="s">
        <v>67</v>
      </c>
      <c r="N64" s="2"/>
      <c r="O64" s="49"/>
      <c r="P64" s="1"/>
      <c r="T64" s="321"/>
      <c r="V64" s="1231"/>
      <c r="W64" s="1232"/>
      <c r="X64" s="1174"/>
    </row>
    <row r="65" spans="1:24" ht="12" customHeight="1">
      <c r="A65" s="2"/>
      <c r="B65" s="210"/>
      <c r="C65" s="206"/>
      <c r="D65" s="236" t="s">
        <v>65</v>
      </c>
      <c r="E65" s="410"/>
      <c r="F65" s="2"/>
      <c r="G65" s="2"/>
      <c r="H65" s="325">
        <f>SUM(H70:H81)</f>
        <v>0</v>
      </c>
      <c r="I65" s="326"/>
      <c r="J65" s="2"/>
      <c r="K65" s="49"/>
      <c r="L65" s="1"/>
      <c r="M65" s="1191">
        <f>SUM(M70:M81)</f>
        <v>0</v>
      </c>
      <c r="N65" s="326"/>
      <c r="O65" s="49"/>
      <c r="P65" s="1"/>
      <c r="S65" s="323">
        <f>H65+M65</f>
        <v>0</v>
      </c>
      <c r="T65" s="321"/>
      <c r="V65" s="1231"/>
      <c r="W65" s="1232"/>
      <c r="X65" s="1174"/>
    </row>
    <row r="66" spans="1:24" ht="12" customHeight="1">
      <c r="A66" s="2"/>
      <c r="B66" s="210"/>
      <c r="C66" s="206"/>
      <c r="D66" s="236" t="s">
        <v>74</v>
      </c>
      <c r="E66" s="411"/>
      <c r="F66" s="2"/>
      <c r="G66" s="2"/>
      <c r="H66" s="338">
        <f>H65*SUM(E65,E66)</f>
        <v>0</v>
      </c>
      <c r="I66" s="327" t="str">
        <f>IF(H66&gt;0,"SWS","")</f>
        <v/>
      </c>
      <c r="J66" s="2"/>
      <c r="K66" s="49"/>
      <c r="L66" s="1"/>
      <c r="M66" s="1192">
        <f>M65*SUM(E65,E66)</f>
        <v>0</v>
      </c>
      <c r="N66" s="327" t="str">
        <f>IF(M66&gt;0,"SWS","")</f>
        <v/>
      </c>
      <c r="O66" s="49"/>
      <c r="P66" s="1"/>
      <c r="S66" s="55">
        <f>SUM(H66,M66)</f>
        <v>0</v>
      </c>
      <c r="T66" s="321"/>
      <c r="V66" s="1231"/>
      <c r="W66" s="1232"/>
      <c r="X66" s="1174"/>
    </row>
    <row r="67" spans="1:24" ht="10.5">
      <c r="A67" s="2"/>
      <c r="B67" s="13"/>
      <c r="C67" s="2"/>
      <c r="D67" s="2"/>
      <c r="E67" s="324">
        <f>SUM(E65:E66)</f>
        <v>0</v>
      </c>
      <c r="F67" s="2"/>
      <c r="G67" s="2"/>
      <c r="H67" s="2"/>
      <c r="I67" s="2"/>
      <c r="J67" s="2"/>
      <c r="K67" s="49"/>
      <c r="L67" s="1"/>
      <c r="M67" s="244"/>
      <c r="N67" s="2"/>
      <c r="O67" s="49"/>
      <c r="P67" s="49"/>
      <c r="Q67" s="49"/>
      <c r="R67" s="49"/>
      <c r="S67" s="49"/>
      <c r="T67" s="321"/>
      <c r="V67" s="1231"/>
      <c r="W67" s="1232"/>
      <c r="X67" s="1174"/>
    </row>
    <row r="68" spans="1:24">
      <c r="A68" s="2"/>
      <c r="B68" s="13"/>
      <c r="C68" s="2"/>
      <c r="D68" s="2"/>
      <c r="F68" s="2"/>
      <c r="G68" s="2"/>
      <c r="H68" s="2"/>
      <c r="I68" s="2"/>
      <c r="J68" s="2"/>
      <c r="K68" s="113" t="s">
        <v>97</v>
      </c>
      <c r="L68" s="1"/>
      <c r="M68" s="244"/>
      <c r="N68" s="2"/>
      <c r="O68" s="49"/>
      <c r="P68" s="113" t="s">
        <v>97</v>
      </c>
      <c r="Q68" s="49"/>
      <c r="R68" s="49"/>
      <c r="S68" s="49"/>
      <c r="T68" s="321"/>
      <c r="V68" s="1231"/>
      <c r="W68" s="1232"/>
      <c r="X68" s="1174"/>
    </row>
    <row r="69" spans="1:24" ht="13.4" customHeight="1">
      <c r="A69" s="2"/>
      <c r="B69" s="13"/>
      <c r="C69" s="2"/>
      <c r="D69" s="2"/>
      <c r="E69" s="114"/>
      <c r="F69" s="2"/>
      <c r="G69" s="2"/>
      <c r="H69" s="113" t="s">
        <v>83</v>
      </c>
      <c r="I69" s="113" t="s">
        <v>31</v>
      </c>
      <c r="J69" s="113" t="s">
        <v>32</v>
      </c>
      <c r="K69" s="113" t="s">
        <v>96</v>
      </c>
      <c r="L69" s="113" t="s">
        <v>94</v>
      </c>
      <c r="M69" s="319" t="s">
        <v>83</v>
      </c>
      <c r="N69" s="113" t="s">
        <v>31</v>
      </c>
      <c r="O69" s="113" t="s">
        <v>32</v>
      </c>
      <c r="P69" s="113" t="s">
        <v>96</v>
      </c>
      <c r="Q69" s="113" t="s">
        <v>94</v>
      </c>
      <c r="R69" s="113"/>
      <c r="S69" s="49"/>
      <c r="T69" s="321"/>
      <c r="V69" s="1231"/>
      <c r="W69" s="1232"/>
      <c r="X69" s="1174"/>
    </row>
    <row r="70" spans="1:24" ht="11.15" customHeight="1">
      <c r="A70" s="2"/>
      <c r="B70" s="13"/>
      <c r="C70" s="2"/>
      <c r="D70" s="734"/>
      <c r="E70" s="734"/>
      <c r="F70" s="740" t="s">
        <v>201</v>
      </c>
      <c r="G70" s="2"/>
      <c r="H70" s="397"/>
      <c r="I70" s="398"/>
      <c r="J70" s="399"/>
      <c r="K70" s="400"/>
      <c r="L70" s="337">
        <f>IFERROR($E$67*H70*I70/J70*K70,0)</f>
        <v>0</v>
      </c>
      <c r="M70" s="402"/>
      <c r="N70" s="398"/>
      <c r="O70" s="399"/>
      <c r="P70" s="400"/>
      <c r="Q70" s="115">
        <f>IFERROR($E$67*M70*N70/O70*P70,0)</f>
        <v>0</v>
      </c>
      <c r="R70" s="342"/>
      <c r="S70" s="49"/>
      <c r="T70" s="321"/>
      <c r="V70" s="1200"/>
      <c r="W70" s="1201"/>
      <c r="X70" s="1202"/>
    </row>
    <row r="71" spans="1:24" ht="11.15" customHeight="1">
      <c r="B71" s="13"/>
      <c r="C71" s="2"/>
      <c r="D71" s="735"/>
      <c r="E71" s="735"/>
      <c r="F71" s="741" t="s">
        <v>202</v>
      </c>
      <c r="G71" s="2"/>
      <c r="H71" s="401"/>
      <c r="I71" s="398"/>
      <c r="J71" s="399"/>
      <c r="K71" s="400"/>
      <c r="L71" s="337">
        <f>IFERROR($E$67*H71*I71/J71*K71,0)</f>
        <v>0</v>
      </c>
      <c r="M71" s="403"/>
      <c r="N71" s="398"/>
      <c r="O71" s="399"/>
      <c r="P71" s="400"/>
      <c r="Q71" s="115">
        <f t="shared" ref="Q71:Q81" si="0">IFERROR($E$67*M71*N71/O71*P71,0)</f>
        <v>0</v>
      </c>
      <c r="R71" s="342"/>
      <c r="S71" s="49"/>
      <c r="T71" s="321"/>
      <c r="V71" s="1200"/>
      <c r="W71" s="1201"/>
      <c r="X71" s="1202"/>
    </row>
    <row r="72" spans="1:24" ht="11.5" customHeight="1">
      <c r="B72" s="13"/>
      <c r="C72" s="2"/>
      <c r="D72" s="735"/>
      <c r="E72" s="735"/>
      <c r="F72" s="741" t="s">
        <v>203</v>
      </c>
      <c r="G72" s="2"/>
      <c r="H72" s="401"/>
      <c r="I72" s="398"/>
      <c r="J72" s="399"/>
      <c r="K72" s="400"/>
      <c r="L72" s="337">
        <f>IFERROR($E$67*H72*I72/J72*K72,0)</f>
        <v>0</v>
      </c>
      <c r="M72" s="403"/>
      <c r="N72" s="398"/>
      <c r="O72" s="399"/>
      <c r="P72" s="400"/>
      <c r="Q72" s="115">
        <f t="shared" si="0"/>
        <v>0</v>
      </c>
      <c r="R72" s="342"/>
      <c r="S72" s="49"/>
      <c r="T72" s="321"/>
      <c r="V72" s="1200"/>
      <c r="W72" s="1201"/>
      <c r="X72" s="1202"/>
    </row>
    <row r="73" spans="1:24">
      <c r="B73" s="13"/>
      <c r="C73" s="2"/>
      <c r="D73" s="735"/>
      <c r="E73" s="735"/>
      <c r="F73" s="741"/>
      <c r="G73" s="2"/>
      <c r="H73" s="401"/>
      <c r="I73" s="398"/>
      <c r="J73" s="399"/>
      <c r="K73" s="400"/>
      <c r="L73" s="337">
        <f t="shared" ref="L73:L81" si="1">IFERROR($E$67*H73*I73/J73*K73,0)</f>
        <v>0</v>
      </c>
      <c r="M73" s="403"/>
      <c r="N73" s="398"/>
      <c r="O73" s="399"/>
      <c r="P73" s="400"/>
      <c r="Q73" s="115">
        <f t="shared" si="0"/>
        <v>0</v>
      </c>
      <c r="R73" s="342"/>
      <c r="S73" s="49"/>
      <c r="T73" s="321"/>
      <c r="V73" s="1200"/>
      <c r="W73" s="1201"/>
      <c r="X73" s="1202"/>
    </row>
    <row r="74" spans="1:24">
      <c r="B74" s="13"/>
      <c r="C74" s="2"/>
      <c r="D74" s="736"/>
      <c r="E74" s="737"/>
      <c r="F74" s="741"/>
      <c r="G74" s="2"/>
      <c r="H74" s="401"/>
      <c r="I74" s="398"/>
      <c r="J74" s="399"/>
      <c r="K74" s="400"/>
      <c r="L74" s="337">
        <f t="shared" si="1"/>
        <v>0</v>
      </c>
      <c r="M74" s="403"/>
      <c r="N74" s="398"/>
      <c r="O74" s="399"/>
      <c r="P74" s="400"/>
      <c r="Q74" s="115">
        <f t="shared" si="0"/>
        <v>0</v>
      </c>
      <c r="R74" s="342"/>
      <c r="S74" s="49"/>
      <c r="T74" s="321"/>
      <c r="V74" s="1200"/>
      <c r="W74" s="1201"/>
      <c r="X74" s="1202"/>
    </row>
    <row r="75" spans="1:24">
      <c r="B75" s="13"/>
      <c r="C75" s="2"/>
      <c r="D75" s="736"/>
      <c r="E75" s="737"/>
      <c r="F75" s="741"/>
      <c r="G75" s="2"/>
      <c r="H75" s="401"/>
      <c r="I75" s="398"/>
      <c r="J75" s="399"/>
      <c r="K75" s="400"/>
      <c r="L75" s="337">
        <f t="shared" si="1"/>
        <v>0</v>
      </c>
      <c r="M75" s="403"/>
      <c r="N75" s="398"/>
      <c r="O75" s="399"/>
      <c r="P75" s="400"/>
      <c r="Q75" s="115">
        <f t="shared" si="0"/>
        <v>0</v>
      </c>
      <c r="R75" s="342"/>
      <c r="S75" s="49"/>
      <c r="T75" s="321"/>
      <c r="V75" s="1200"/>
      <c r="W75" s="1201"/>
      <c r="X75" s="1202"/>
    </row>
    <row r="76" spans="1:24">
      <c r="B76" s="13"/>
      <c r="C76" s="2"/>
      <c r="D76" s="736"/>
      <c r="E76" s="737"/>
      <c r="F76" s="741"/>
      <c r="G76" s="2"/>
      <c r="H76" s="401"/>
      <c r="I76" s="398"/>
      <c r="J76" s="399"/>
      <c r="K76" s="400"/>
      <c r="L76" s="337">
        <f t="shared" si="1"/>
        <v>0</v>
      </c>
      <c r="M76" s="403"/>
      <c r="N76" s="398"/>
      <c r="O76" s="399"/>
      <c r="P76" s="400"/>
      <c r="Q76" s="115">
        <f t="shared" si="0"/>
        <v>0</v>
      </c>
      <c r="R76" s="342"/>
      <c r="S76" s="49"/>
      <c r="T76" s="321"/>
      <c r="V76" s="1200"/>
      <c r="W76" s="1201"/>
      <c r="X76" s="1202"/>
    </row>
    <row r="77" spans="1:24">
      <c r="B77" s="13"/>
      <c r="C77" s="2"/>
      <c r="D77" s="736"/>
      <c r="E77" s="737"/>
      <c r="F77" s="741"/>
      <c r="G77" s="2"/>
      <c r="H77" s="401"/>
      <c r="I77" s="398"/>
      <c r="J77" s="399"/>
      <c r="K77" s="400"/>
      <c r="L77" s="337">
        <f t="shared" si="1"/>
        <v>0</v>
      </c>
      <c r="M77" s="403"/>
      <c r="N77" s="398"/>
      <c r="O77" s="399"/>
      <c r="P77" s="400"/>
      <c r="Q77" s="115">
        <f t="shared" si="0"/>
        <v>0</v>
      </c>
      <c r="R77" s="342"/>
      <c r="S77" s="49"/>
      <c r="T77" s="321"/>
      <c r="V77" s="1200"/>
      <c r="W77" s="1201"/>
      <c r="X77" s="1202"/>
    </row>
    <row r="78" spans="1:24">
      <c r="B78" s="13"/>
      <c r="C78" s="2"/>
      <c r="D78" s="736"/>
      <c r="E78" s="737"/>
      <c r="F78" s="741"/>
      <c r="G78" s="2"/>
      <c r="H78" s="401"/>
      <c r="I78" s="398"/>
      <c r="J78" s="399"/>
      <c r="K78" s="400"/>
      <c r="L78" s="337">
        <f t="shared" si="1"/>
        <v>0</v>
      </c>
      <c r="M78" s="403"/>
      <c r="N78" s="398"/>
      <c r="O78" s="399"/>
      <c r="P78" s="400"/>
      <c r="Q78" s="115">
        <f t="shared" si="0"/>
        <v>0</v>
      </c>
      <c r="R78" s="342"/>
      <c r="S78" s="49"/>
      <c r="T78" s="321"/>
      <c r="V78" s="1200"/>
      <c r="W78" s="1201"/>
      <c r="X78" s="1202"/>
    </row>
    <row r="79" spans="1:24">
      <c r="B79" s="13"/>
      <c r="C79" s="2"/>
      <c r="D79" s="736"/>
      <c r="E79" s="737"/>
      <c r="F79" s="741"/>
      <c r="G79" s="2"/>
      <c r="H79" s="401"/>
      <c r="I79" s="398"/>
      <c r="J79" s="399"/>
      <c r="K79" s="400"/>
      <c r="L79" s="337">
        <f t="shared" si="1"/>
        <v>0</v>
      </c>
      <c r="M79" s="403"/>
      <c r="N79" s="398"/>
      <c r="O79" s="399"/>
      <c r="P79" s="400"/>
      <c r="Q79" s="115">
        <f t="shared" si="0"/>
        <v>0</v>
      </c>
      <c r="R79" s="342"/>
      <c r="S79" s="49"/>
      <c r="T79" s="321"/>
      <c r="V79" s="1200"/>
      <c r="W79" s="1201"/>
      <c r="X79" s="1202"/>
    </row>
    <row r="80" spans="1:24">
      <c r="B80" s="13"/>
      <c r="C80" s="2"/>
      <c r="D80" s="736"/>
      <c r="E80" s="737"/>
      <c r="F80" s="741"/>
      <c r="G80" s="2"/>
      <c r="H80" s="401"/>
      <c r="I80" s="398"/>
      <c r="J80" s="399"/>
      <c r="K80" s="400"/>
      <c r="L80" s="337">
        <f t="shared" si="1"/>
        <v>0</v>
      </c>
      <c r="M80" s="403"/>
      <c r="N80" s="398"/>
      <c r="O80" s="399"/>
      <c r="P80" s="400"/>
      <c r="Q80" s="115">
        <f t="shared" si="0"/>
        <v>0</v>
      </c>
      <c r="R80" s="342"/>
      <c r="S80" s="49"/>
      <c r="T80" s="321"/>
      <c r="V80" s="1200"/>
      <c r="W80" s="1201"/>
      <c r="X80" s="1202"/>
    </row>
    <row r="81" spans="1:24">
      <c r="B81" s="13"/>
      <c r="C81" s="2"/>
      <c r="D81" s="738"/>
      <c r="E81" s="739"/>
      <c r="F81" s="742"/>
      <c r="G81" s="2"/>
      <c r="H81" s="401"/>
      <c r="I81" s="398"/>
      <c r="J81" s="399"/>
      <c r="K81" s="400"/>
      <c r="L81" s="337">
        <f t="shared" si="1"/>
        <v>0</v>
      </c>
      <c r="M81" s="403"/>
      <c r="N81" s="398"/>
      <c r="O81" s="399"/>
      <c r="P81" s="400"/>
      <c r="Q81" s="115">
        <f t="shared" si="0"/>
        <v>0</v>
      </c>
      <c r="R81" s="342"/>
      <c r="S81" s="49"/>
      <c r="T81" s="321"/>
      <c r="V81" s="1200"/>
      <c r="W81" s="1201"/>
      <c r="X81" s="1202"/>
    </row>
    <row r="82" spans="1:24">
      <c r="B82" s="13"/>
      <c r="C82" s="2"/>
      <c r="D82" s="2"/>
      <c r="E82" s="2"/>
      <c r="F82" s="2"/>
      <c r="G82" s="2"/>
      <c r="H82" s="49"/>
      <c r="I82" s="2"/>
      <c r="J82" s="49"/>
      <c r="L82" s="49"/>
      <c r="M82" s="335"/>
      <c r="N82" s="49"/>
      <c r="O82" s="49"/>
      <c r="P82" s="49"/>
      <c r="Q82" s="49"/>
      <c r="R82" s="49"/>
      <c r="S82" s="208" t="s">
        <v>99</v>
      </c>
      <c r="T82" s="321"/>
      <c r="V82" s="1231"/>
      <c r="W82" s="1232"/>
      <c r="X82" s="1174"/>
    </row>
    <row r="83" spans="1:24" ht="12" customHeight="1">
      <c r="B83" s="13"/>
      <c r="C83" s="2"/>
      <c r="D83" s="236" t="s">
        <v>182</v>
      </c>
      <c r="E83" s="2"/>
      <c r="F83" s="2"/>
      <c r="G83" s="2"/>
      <c r="H83" s="49"/>
      <c r="I83" s="2"/>
      <c r="K83" s="116" t="s">
        <v>196</v>
      </c>
      <c r="L83" s="412"/>
      <c r="M83" s="336"/>
      <c r="N83" s="1"/>
      <c r="O83" s="1"/>
      <c r="P83" s="116" t="s">
        <v>196</v>
      </c>
      <c r="Q83" s="413"/>
      <c r="R83" s="343"/>
      <c r="S83" s="208" t="s">
        <v>98</v>
      </c>
      <c r="T83" s="321"/>
      <c r="V83" s="1231"/>
      <c r="W83" s="1232"/>
      <c r="X83" s="1174"/>
    </row>
    <row r="84" spans="1:24" ht="12" customHeight="1">
      <c r="B84" s="13"/>
      <c r="C84" s="2"/>
      <c r="D84" s="236" t="s">
        <v>183</v>
      </c>
      <c r="E84" s="408"/>
      <c r="F84" s="2"/>
      <c r="G84" s="2"/>
      <c r="H84" s="49"/>
      <c r="I84" s="2"/>
      <c r="J84" s="49"/>
      <c r="K84" s="435" t="s">
        <v>26</v>
      </c>
      <c r="L84" s="334">
        <f>IF(L83=0,SUM(L70:L81),L83)</f>
        <v>0</v>
      </c>
      <c r="M84" s="336"/>
      <c r="N84" s="1"/>
      <c r="O84" s="1"/>
      <c r="P84" s="435" t="s">
        <v>26</v>
      </c>
      <c r="Q84" s="118">
        <f>IF(Q83=0,SUM(Q70:Q81),Q83)</f>
        <v>0</v>
      </c>
      <c r="R84" s="344"/>
      <c r="S84" s="118">
        <f>L84+Q84*'HAW-Kennwerte'!$R$30</f>
        <v>0</v>
      </c>
      <c r="T84" s="321"/>
      <c r="V84" s="1200"/>
      <c r="W84" s="1201"/>
      <c r="X84" s="1202"/>
    </row>
    <row r="85" spans="1:24" ht="10.5">
      <c r="B85" s="13"/>
      <c r="C85" s="2"/>
      <c r="D85" s="2"/>
      <c r="E85" s="2"/>
      <c r="F85" s="2"/>
      <c r="G85" s="2"/>
      <c r="H85" s="49"/>
      <c r="I85" s="2"/>
      <c r="J85" s="49"/>
      <c r="K85" s="242"/>
      <c r="L85" s="2"/>
      <c r="M85" s="336"/>
      <c r="N85" s="1"/>
      <c r="O85" s="1"/>
      <c r="P85" s="49"/>
      <c r="Q85" s="242"/>
      <c r="R85" s="242"/>
      <c r="S85" s="242"/>
      <c r="T85" s="321"/>
      <c r="V85" s="1231"/>
      <c r="W85" s="1232"/>
      <c r="X85" s="1174"/>
    </row>
    <row r="86" spans="1:24" ht="12" customHeight="1">
      <c r="B86" s="13"/>
      <c r="C86" s="2"/>
      <c r="D86" s="716" t="s">
        <v>194</v>
      </c>
      <c r="E86" s="745" t="s">
        <v>195</v>
      </c>
      <c r="F86" s="2"/>
      <c r="G86" s="2"/>
      <c r="I86" s="2"/>
      <c r="J86" s="208"/>
      <c r="K86" s="242"/>
      <c r="L86" s="204"/>
      <c r="M86" s="204"/>
      <c r="N86" s="203"/>
      <c r="O86" s="203"/>
      <c r="P86" s="791"/>
      <c r="Q86" s="202"/>
      <c r="R86" s="607"/>
      <c r="S86" s="607"/>
      <c r="T86" s="321"/>
      <c r="V86" s="1231"/>
      <c r="W86" s="1232"/>
      <c r="X86" s="1174"/>
    </row>
    <row r="87" spans="1:24" ht="12" customHeight="1">
      <c r="B87" s="13"/>
      <c r="C87" s="2"/>
      <c r="D87" s="2"/>
      <c r="E87" s="2"/>
      <c r="F87" s="2"/>
      <c r="G87" s="2"/>
      <c r="H87" s="49"/>
      <c r="I87" s="2"/>
      <c r="J87" s="202"/>
      <c r="K87" s="206">
        <f>IF($Q$87&gt;2023,$Q$87-6,"")</f>
        <v>2019</v>
      </c>
      <c r="L87" s="206">
        <f>IF($Q$87&gt;2023,$Q$87-5,"")</f>
        <v>2020</v>
      </c>
      <c r="M87" s="206">
        <f>IF($Q$87&gt;2023,$Q$87-4,"")</f>
        <v>2021</v>
      </c>
      <c r="N87" s="206">
        <f>IF($Q$87&gt;2023,$Q$87-3,"")</f>
        <v>2022</v>
      </c>
      <c r="O87" s="206">
        <f>IF($Q$87&gt;2023,$Q$87-2,"")</f>
        <v>2023</v>
      </c>
      <c r="P87" s="206">
        <f>IF($Q$87&gt;2023,$Q$87-1,"")</f>
        <v>2024</v>
      </c>
      <c r="Q87" s="717">
        <v>2025</v>
      </c>
      <c r="R87" s="50"/>
      <c r="S87" s="202"/>
      <c r="T87" s="321"/>
      <c r="V87" s="1231"/>
      <c r="W87" s="1232"/>
      <c r="X87" s="1174"/>
    </row>
    <row r="88" spans="1:24" ht="12" customHeight="1">
      <c r="B88" s="13"/>
      <c r="C88" s="2"/>
      <c r="D88" s="2"/>
      <c r="E88" s="2"/>
      <c r="F88" s="2"/>
      <c r="G88" s="2"/>
      <c r="H88" s="49"/>
      <c r="I88" s="2"/>
      <c r="J88" s="435" t="s">
        <v>245</v>
      </c>
      <c r="K88" s="816"/>
      <c r="L88" s="816"/>
      <c r="M88" s="816"/>
      <c r="N88" s="816"/>
      <c r="O88" s="816"/>
      <c r="P88" s="816"/>
      <c r="Q88" s="816"/>
      <c r="R88" s="50"/>
      <c r="S88" s="744">
        <f>IF(S89&gt;0,IF(S89&gt;1,0,S89),IFERROR(IF((K88*3+L88*4+M88*5+N88*6+O88*7+P88*8+Q88*9)/42&gt;1,1,(K88*3+L88*4+M88*5+N88*6+O88*7+P88*8+Q88*9)/42),""))</f>
        <v>0</v>
      </c>
      <c r="T88" s="321"/>
      <c r="V88" s="1233"/>
      <c r="W88" s="1234"/>
      <c r="X88" s="1235"/>
    </row>
    <row r="89" spans="1:24" ht="12" customHeight="1">
      <c r="B89" s="13"/>
      <c r="C89" s="2"/>
      <c r="D89" s="2"/>
      <c r="E89" s="2"/>
      <c r="F89" s="2"/>
      <c r="G89" s="2"/>
      <c r="H89" s="49"/>
      <c r="I89" s="2"/>
      <c r="J89" s="208"/>
      <c r="K89" s="743" t="s">
        <v>246</v>
      </c>
      <c r="L89" s="203"/>
      <c r="M89" s="203"/>
      <c r="N89" s="203"/>
      <c r="O89" s="203"/>
      <c r="P89" s="607"/>
      <c r="Q89" s="202"/>
      <c r="R89" s="50"/>
      <c r="S89" s="1187"/>
      <c r="T89" s="321"/>
    </row>
    <row r="90" spans="1:24">
      <c r="B90" s="45"/>
      <c r="C90" s="46"/>
      <c r="D90" s="46"/>
      <c r="E90" s="46"/>
      <c r="F90" s="46"/>
      <c r="G90" s="46"/>
      <c r="H90" s="46"/>
      <c r="I90" s="46"/>
      <c r="J90" s="119"/>
      <c r="K90" s="46"/>
      <c r="L90" s="119"/>
      <c r="M90" s="46"/>
      <c r="N90" s="119"/>
      <c r="O90" s="230"/>
      <c r="P90" s="119"/>
      <c r="Q90" s="119"/>
      <c r="R90" s="119"/>
      <c r="S90" s="119"/>
      <c r="T90" s="322"/>
    </row>
    <row r="91" spans="1:24">
      <c r="B91" s="12" t="s">
        <v>100</v>
      </c>
      <c r="H91" s="2"/>
      <c r="I91" s="2"/>
      <c r="J91" s="49"/>
      <c r="K91" s="2"/>
      <c r="L91" s="49"/>
      <c r="M91" s="2"/>
      <c r="N91" s="49"/>
      <c r="O91" s="49"/>
      <c r="P91" s="49"/>
      <c r="Q91" s="49"/>
      <c r="R91" s="49"/>
      <c r="S91" s="49"/>
      <c r="T91" s="121"/>
    </row>
    <row r="92" spans="1:24">
      <c r="A92" s="106"/>
      <c r="B92" s="209" t="s">
        <v>68</v>
      </c>
      <c r="C92" s="106"/>
      <c r="D92" s="106"/>
      <c r="E92" s="106"/>
      <c r="F92" s="106"/>
      <c r="G92" s="106"/>
      <c r="H92" s="106"/>
      <c r="I92" s="106"/>
      <c r="J92" s="107"/>
      <c r="K92" s="106"/>
      <c r="L92" s="107"/>
      <c r="M92" s="106"/>
      <c r="N92" s="107"/>
      <c r="O92" s="107"/>
      <c r="P92" s="107"/>
      <c r="Q92" s="107"/>
      <c r="R92" s="107"/>
      <c r="S92" s="107"/>
      <c r="T92" s="107"/>
    </row>
    <row r="93" spans="1:24">
      <c r="Q93" s="201"/>
      <c r="R93" s="201"/>
      <c r="S93" s="201" t="str">
        <f>HAW!B28</f>
        <v>Kennwertverfahren NRW für HAW; HIS-Institut für Hochschulentwicklung e.V. (24.04.2026)</v>
      </c>
      <c r="T93" s="201"/>
    </row>
    <row r="95" spans="1:24">
      <c r="B95" s="229"/>
      <c r="C95" s="202"/>
    </row>
    <row r="96" spans="1:24" ht="10.5">
      <c r="B96" s="794" t="str">
        <f>IF(B8=0,B7,CONCATENATE(B7,B8))</f>
        <v>Hochschule …</v>
      </c>
      <c r="C96" s="795"/>
      <c r="D96" s="795"/>
      <c r="E96" s="795"/>
      <c r="F96" s="795"/>
      <c r="G96" s="795"/>
      <c r="H96" s="795"/>
      <c r="I96" s="795"/>
      <c r="J96" s="796"/>
      <c r="K96" s="795"/>
      <c r="L96" s="796"/>
      <c r="M96" s="795"/>
      <c r="N96" s="796"/>
      <c r="O96" s="796"/>
      <c r="P96" s="796"/>
      <c r="Q96" s="796"/>
      <c r="R96" s="796"/>
      <c r="S96" s="796"/>
    </row>
    <row r="97" spans="2:19">
      <c r="B97" s="795" t="str">
        <f>B9</f>
        <v>[Fakultät/Fachbereich]</v>
      </c>
      <c r="C97" s="795"/>
      <c r="D97" s="795"/>
      <c r="E97" s="795"/>
      <c r="F97" s="795"/>
      <c r="G97" s="795"/>
      <c r="H97" s="795"/>
      <c r="I97" s="795"/>
      <c r="J97" s="796"/>
      <c r="K97" s="795"/>
      <c r="L97" s="796"/>
      <c r="M97" s="795"/>
      <c r="N97" s="796"/>
      <c r="O97" s="796"/>
      <c r="P97" s="796"/>
      <c r="Q97" s="796"/>
      <c r="R97" s="796"/>
      <c r="S97" s="796"/>
    </row>
    <row r="98" spans="2:19">
      <c r="B98" s="795" t="str">
        <f>B10</f>
        <v>[Department, Institut o.a.]</v>
      </c>
      <c r="C98" s="795"/>
      <c r="D98" s="795"/>
      <c r="E98" s="795"/>
      <c r="F98" s="795"/>
      <c r="G98" s="795"/>
      <c r="H98" s="795"/>
      <c r="I98" s="795"/>
      <c r="J98" s="796"/>
      <c r="K98" s="795"/>
      <c r="L98" s="796"/>
      <c r="M98" s="795"/>
      <c r="N98" s="796"/>
      <c r="O98" s="796"/>
      <c r="P98" s="796"/>
      <c r="Q98" s="796"/>
      <c r="R98" s="796"/>
      <c r="S98" s="796"/>
    </row>
    <row r="99" spans="2:19">
      <c r="B99" s="795" t="str">
        <f>CONCATENATE(B12,": ",B13)</f>
        <v>Lehr- und Forschungsbereich: Ernährungswissenschaften</v>
      </c>
      <c r="C99" s="795"/>
      <c r="D99" s="795"/>
      <c r="E99" s="795"/>
      <c r="F99" s="795"/>
      <c r="G99" s="795"/>
      <c r="H99" s="795"/>
      <c r="I99" s="795"/>
      <c r="J99" s="796"/>
      <c r="K99" s="795"/>
      <c r="L99" s="796"/>
      <c r="M99" s="795"/>
      <c r="N99" s="796"/>
      <c r="O99" s="796"/>
      <c r="P99" s="796"/>
      <c r="Q99" s="796"/>
      <c r="R99" s="796"/>
      <c r="S99" s="796"/>
    </row>
    <row r="100" spans="2:19">
      <c r="B100" s="202"/>
      <c r="C100" s="202"/>
      <c r="D100" s="202"/>
      <c r="E100" s="202"/>
      <c r="F100" s="202"/>
      <c r="G100" s="202"/>
      <c r="H100" s="202"/>
      <c r="I100" s="202"/>
      <c r="J100" s="607"/>
      <c r="K100" s="202"/>
      <c r="L100" s="607"/>
      <c r="M100" s="202"/>
      <c r="N100" s="607"/>
      <c r="O100" s="607"/>
      <c r="P100" s="607"/>
      <c r="Q100" s="607"/>
      <c r="R100" s="607"/>
      <c r="S100" s="607"/>
    </row>
    <row r="101" spans="2:19">
      <c r="B101" s="110" t="s">
        <v>235</v>
      </c>
      <c r="C101" s="206"/>
      <c r="D101" s="206"/>
      <c r="E101" s="206"/>
      <c r="F101" s="206"/>
      <c r="G101" s="206"/>
      <c r="H101" s="206"/>
      <c r="I101" s="206"/>
      <c r="J101" s="208"/>
      <c r="K101" s="206"/>
      <c r="L101" s="208"/>
      <c r="M101" s="206"/>
      <c r="N101" s="208"/>
      <c r="O101" s="208"/>
      <c r="P101" s="208"/>
      <c r="Q101" s="208"/>
      <c r="R101" s="208"/>
      <c r="S101" s="208"/>
    </row>
    <row r="102" spans="2:19">
      <c r="B102" s="909"/>
      <c r="C102" s="910"/>
      <c r="D102" s="910"/>
      <c r="E102" s="910"/>
      <c r="F102" s="910"/>
      <c r="G102" s="910"/>
      <c r="H102" s="910"/>
      <c r="I102" s="910"/>
      <c r="J102" s="544"/>
      <c r="K102" s="910"/>
      <c r="L102" s="544"/>
      <c r="M102" s="910"/>
      <c r="N102" s="544"/>
      <c r="O102" s="544"/>
      <c r="P102" s="544"/>
      <c r="Q102" s="544"/>
      <c r="R102" s="544"/>
      <c r="S102" s="1173"/>
    </row>
    <row r="103" spans="2:19" ht="10.5">
      <c r="B103" s="210"/>
      <c r="C103" s="206"/>
      <c r="D103" s="206"/>
      <c r="E103" s="206"/>
      <c r="F103" s="206"/>
      <c r="G103" s="1166" t="s">
        <v>249</v>
      </c>
      <c r="H103" s="797">
        <f>SUM(H107:H156)</f>
        <v>0</v>
      </c>
      <c r="I103" s="206"/>
      <c r="J103" s="208"/>
      <c r="K103" s="206"/>
      <c r="L103" s="208"/>
      <c r="M103" s="206"/>
      <c r="N103" s="208"/>
      <c r="O103" s="1166" t="s">
        <v>265</v>
      </c>
      <c r="P103" s="1353">
        <f>SUMPRODUCT(H107:H156,P107:P156)+SUMPRODUCT(H107:H156,Q107:Q156)</f>
        <v>0</v>
      </c>
      <c r="Q103" s="1354"/>
      <c r="R103" s="208"/>
      <c r="S103" s="1174"/>
    </row>
    <row r="104" spans="2:19">
      <c r="B104" s="210"/>
      <c r="C104" s="206"/>
      <c r="D104" s="206"/>
      <c r="E104" s="206"/>
      <c r="F104" s="206"/>
      <c r="G104" s="207"/>
      <c r="H104" s="798"/>
      <c r="I104" s="206"/>
      <c r="J104" s="208"/>
      <c r="K104" s="206"/>
      <c r="L104" s="208"/>
      <c r="M104" s="206"/>
      <c r="N104" s="208"/>
      <c r="O104" s="207"/>
      <c r="P104" s="799" t="str">
        <f>IF($P103=0,"",SUMPRODUCT($H107:$H156,P107:P156)/$P103)</f>
        <v/>
      </c>
      <c r="Q104" s="799" t="str">
        <f>IF($P103=0,"",SUMPRODUCT($H107:$H156,Q107:Q156)/$P103)</f>
        <v/>
      </c>
      <c r="R104" s="208"/>
      <c r="S104" s="1174"/>
    </row>
    <row r="105" spans="2:19" ht="10.5">
      <c r="B105" s="210"/>
      <c r="C105" s="206"/>
      <c r="D105" s="206"/>
      <c r="E105" s="206"/>
      <c r="F105" s="206"/>
      <c r="G105" s="206"/>
      <c r="H105" s="206"/>
      <c r="I105" s="206"/>
      <c r="J105" s="208"/>
      <c r="K105" s="206"/>
      <c r="L105" s="208"/>
      <c r="M105" s="206"/>
      <c r="N105" s="208"/>
      <c r="O105" s="208"/>
      <c r="P105" s="1355"/>
      <c r="Q105" s="1355"/>
      <c r="R105" s="208"/>
      <c r="S105" s="1174"/>
    </row>
    <row r="106" spans="2:19" ht="10.5">
      <c r="B106" s="1175" t="s">
        <v>250</v>
      </c>
      <c r="C106" s="800" t="s">
        <v>251</v>
      </c>
      <c r="D106" s="238"/>
      <c r="E106" s="238"/>
      <c r="F106" s="238"/>
      <c r="G106" s="238"/>
      <c r="H106" s="239" t="s">
        <v>252</v>
      </c>
      <c r="I106" s="238" t="s">
        <v>253</v>
      </c>
      <c r="J106" s="238"/>
      <c r="K106" s="239"/>
      <c r="L106" s="238"/>
      <c r="M106" s="239"/>
      <c r="N106" s="208"/>
      <c r="O106" s="801" t="s">
        <v>88</v>
      </c>
      <c r="P106" s="239" t="s">
        <v>84</v>
      </c>
      <c r="Q106" s="239" t="s">
        <v>85</v>
      </c>
      <c r="R106" s="208"/>
      <c r="S106" s="1174"/>
    </row>
    <row r="107" spans="2:19">
      <c r="B107" s="210" t="str">
        <f>IF(COUNTA(C107)=1,1,"")</f>
        <v/>
      </c>
      <c r="C107" s="802"/>
      <c r="D107" s="803"/>
      <c r="E107" s="803"/>
      <c r="F107" s="803"/>
      <c r="G107" s="803"/>
      <c r="H107" s="804"/>
      <c r="I107" s="802"/>
      <c r="J107" s="803"/>
      <c r="K107" s="803"/>
      <c r="L107" s="803"/>
      <c r="M107" s="803"/>
      <c r="N107" s="803"/>
      <c r="O107" s="805"/>
      <c r="P107" s="806"/>
      <c r="Q107" s="806"/>
      <c r="R107" s="807">
        <f>SUM(O107:Q107)</f>
        <v>0</v>
      </c>
      <c r="S107" s="1174"/>
    </row>
    <row r="108" spans="2:19">
      <c r="B108" s="210" t="str">
        <f>IF(COUNTA(C108)=1,MAX(B$107:B107)+1,"")</f>
        <v/>
      </c>
      <c r="C108" s="808"/>
      <c r="D108" s="809"/>
      <c r="E108" s="809"/>
      <c r="F108" s="809"/>
      <c r="G108" s="809"/>
      <c r="H108" s="810"/>
      <c r="I108" s="808"/>
      <c r="J108" s="809"/>
      <c r="K108" s="809"/>
      <c r="L108" s="809"/>
      <c r="M108" s="809"/>
      <c r="N108" s="809"/>
      <c r="O108" s="811"/>
      <c r="P108" s="812"/>
      <c r="Q108" s="812"/>
      <c r="R108" s="807">
        <f t="shared" ref="R108:R156" si="2">SUM(O108:Q108)</f>
        <v>0</v>
      </c>
      <c r="S108" s="1174"/>
    </row>
    <row r="109" spans="2:19">
      <c r="B109" s="210" t="str">
        <f>IF(COUNTA(C109)=1,MAX(B$107:B108)+1,"")</f>
        <v/>
      </c>
      <c r="C109" s="808"/>
      <c r="D109" s="809"/>
      <c r="E109" s="809"/>
      <c r="F109" s="809"/>
      <c r="G109" s="809"/>
      <c r="H109" s="810"/>
      <c r="I109" s="808"/>
      <c r="J109" s="809"/>
      <c r="K109" s="809"/>
      <c r="L109" s="809"/>
      <c r="M109" s="809"/>
      <c r="N109" s="809"/>
      <c r="O109" s="811"/>
      <c r="P109" s="812"/>
      <c r="Q109" s="812"/>
      <c r="R109" s="807">
        <f t="shared" si="2"/>
        <v>0</v>
      </c>
      <c r="S109" s="1174"/>
    </row>
    <row r="110" spans="2:19">
      <c r="B110" s="210" t="str">
        <f>IF(COUNTA(C110)=1,MAX(B$107:B109)+1,"")</f>
        <v/>
      </c>
      <c r="C110" s="808"/>
      <c r="D110" s="809"/>
      <c r="E110" s="809"/>
      <c r="F110" s="809"/>
      <c r="G110" s="809"/>
      <c r="H110" s="810"/>
      <c r="I110" s="808"/>
      <c r="J110" s="809"/>
      <c r="K110" s="809"/>
      <c r="L110" s="809"/>
      <c r="M110" s="809"/>
      <c r="N110" s="809"/>
      <c r="O110" s="811"/>
      <c r="P110" s="812"/>
      <c r="Q110" s="812"/>
      <c r="R110" s="807">
        <f t="shared" si="2"/>
        <v>0</v>
      </c>
      <c r="S110" s="1174"/>
    </row>
    <row r="111" spans="2:19">
      <c r="B111" s="210" t="str">
        <f>IF(COUNTA(C111)=1,MAX(B$107:B110)+1,"")</f>
        <v/>
      </c>
      <c r="C111" s="808"/>
      <c r="D111" s="809"/>
      <c r="E111" s="809"/>
      <c r="F111" s="809"/>
      <c r="G111" s="809"/>
      <c r="H111" s="810"/>
      <c r="I111" s="808"/>
      <c r="J111" s="809"/>
      <c r="K111" s="809"/>
      <c r="L111" s="809"/>
      <c r="M111" s="809"/>
      <c r="N111" s="809"/>
      <c r="O111" s="811"/>
      <c r="P111" s="812"/>
      <c r="Q111" s="812"/>
      <c r="R111" s="807">
        <f t="shared" si="2"/>
        <v>0</v>
      </c>
      <c r="S111" s="1174"/>
    </row>
    <row r="112" spans="2:19">
      <c r="B112" s="210" t="str">
        <f>IF(COUNTA(C112)=1,MAX(B$107:B111)+1,"")</f>
        <v/>
      </c>
      <c r="C112" s="808"/>
      <c r="D112" s="809"/>
      <c r="E112" s="809"/>
      <c r="F112" s="809"/>
      <c r="G112" s="809"/>
      <c r="H112" s="810"/>
      <c r="I112" s="808"/>
      <c r="J112" s="809"/>
      <c r="K112" s="809"/>
      <c r="L112" s="809"/>
      <c r="M112" s="809"/>
      <c r="N112" s="809"/>
      <c r="O112" s="811"/>
      <c r="P112" s="812"/>
      <c r="Q112" s="812"/>
      <c r="R112" s="807">
        <f t="shared" si="2"/>
        <v>0</v>
      </c>
      <c r="S112" s="1174"/>
    </row>
    <row r="113" spans="2:19">
      <c r="B113" s="210" t="str">
        <f>IF(COUNTA(C113)=1,MAX(B$107:B112)+1,"")</f>
        <v/>
      </c>
      <c r="C113" s="808"/>
      <c r="D113" s="809"/>
      <c r="E113" s="809"/>
      <c r="F113" s="809"/>
      <c r="G113" s="809"/>
      <c r="H113" s="810"/>
      <c r="I113" s="808"/>
      <c r="J113" s="809"/>
      <c r="K113" s="809"/>
      <c r="L113" s="809"/>
      <c r="M113" s="809"/>
      <c r="N113" s="809"/>
      <c r="O113" s="811"/>
      <c r="P113" s="812"/>
      <c r="Q113" s="812"/>
      <c r="R113" s="807">
        <f t="shared" si="2"/>
        <v>0</v>
      </c>
      <c r="S113" s="1174"/>
    </row>
    <row r="114" spans="2:19">
      <c r="B114" s="210" t="str">
        <f>IF(COUNTA(C114)=1,MAX(B$107:B113)+1,"")</f>
        <v/>
      </c>
      <c r="C114" s="808"/>
      <c r="D114" s="809"/>
      <c r="E114" s="809"/>
      <c r="F114" s="809"/>
      <c r="G114" s="809"/>
      <c r="H114" s="810"/>
      <c r="I114" s="808"/>
      <c r="J114" s="809"/>
      <c r="K114" s="809"/>
      <c r="L114" s="809"/>
      <c r="M114" s="809"/>
      <c r="N114" s="809"/>
      <c r="O114" s="811"/>
      <c r="P114" s="812"/>
      <c r="Q114" s="812"/>
      <c r="R114" s="807">
        <f t="shared" si="2"/>
        <v>0</v>
      </c>
      <c r="S114" s="1174"/>
    </row>
    <row r="115" spans="2:19">
      <c r="B115" s="210" t="str">
        <f>IF(COUNTA(C115)=1,MAX(B$107:B114)+1,"")</f>
        <v/>
      </c>
      <c r="C115" s="808"/>
      <c r="D115" s="809"/>
      <c r="E115" s="809"/>
      <c r="F115" s="809"/>
      <c r="G115" s="809"/>
      <c r="H115" s="810"/>
      <c r="I115" s="808"/>
      <c r="J115" s="809"/>
      <c r="K115" s="809"/>
      <c r="L115" s="809"/>
      <c r="M115" s="809"/>
      <c r="N115" s="809"/>
      <c r="O115" s="811"/>
      <c r="P115" s="812"/>
      <c r="Q115" s="812"/>
      <c r="R115" s="807">
        <f t="shared" si="2"/>
        <v>0</v>
      </c>
      <c r="S115" s="1174"/>
    </row>
    <row r="116" spans="2:19">
      <c r="B116" s="210" t="str">
        <f>IF(COUNTA(C116)=1,MAX(B$107:B115)+1,"")</f>
        <v/>
      </c>
      <c r="C116" s="808"/>
      <c r="D116" s="809"/>
      <c r="E116" s="809"/>
      <c r="F116" s="809"/>
      <c r="G116" s="809"/>
      <c r="H116" s="810"/>
      <c r="I116" s="808"/>
      <c r="J116" s="809"/>
      <c r="K116" s="809"/>
      <c r="L116" s="809"/>
      <c r="M116" s="809"/>
      <c r="N116" s="809"/>
      <c r="O116" s="811">
        <v>0</v>
      </c>
      <c r="P116" s="812"/>
      <c r="Q116" s="812">
        <v>0</v>
      </c>
      <c r="R116" s="807">
        <f t="shared" si="2"/>
        <v>0</v>
      </c>
      <c r="S116" s="1174"/>
    </row>
    <row r="117" spans="2:19">
      <c r="B117" s="210" t="str">
        <f>IF(COUNTA(C117)=1,MAX(B$107:B116)+1,"")</f>
        <v/>
      </c>
      <c r="C117" s="808"/>
      <c r="D117" s="809"/>
      <c r="E117" s="809"/>
      <c r="F117" s="809"/>
      <c r="G117" s="809"/>
      <c r="H117" s="810"/>
      <c r="I117" s="808"/>
      <c r="J117" s="809"/>
      <c r="K117" s="809"/>
      <c r="L117" s="809"/>
      <c r="M117" s="809"/>
      <c r="N117" s="809"/>
      <c r="O117" s="811">
        <v>0</v>
      </c>
      <c r="P117" s="812"/>
      <c r="Q117" s="812">
        <v>0</v>
      </c>
      <c r="R117" s="807">
        <f t="shared" si="2"/>
        <v>0</v>
      </c>
      <c r="S117" s="1174"/>
    </row>
    <row r="118" spans="2:19">
      <c r="B118" s="210" t="str">
        <f>IF(COUNTA(C118)=1,MAX(B$107:B117)+1,"")</f>
        <v/>
      </c>
      <c r="C118" s="808"/>
      <c r="D118" s="809"/>
      <c r="E118" s="809"/>
      <c r="F118" s="809"/>
      <c r="G118" s="809"/>
      <c r="H118" s="810"/>
      <c r="I118" s="808"/>
      <c r="J118" s="809"/>
      <c r="K118" s="809"/>
      <c r="L118" s="809"/>
      <c r="M118" s="809"/>
      <c r="N118" s="809"/>
      <c r="O118" s="811">
        <v>0</v>
      </c>
      <c r="P118" s="812"/>
      <c r="Q118" s="812">
        <v>0</v>
      </c>
      <c r="R118" s="807">
        <f t="shared" si="2"/>
        <v>0</v>
      </c>
      <c r="S118" s="1174"/>
    </row>
    <row r="119" spans="2:19">
      <c r="B119" s="210" t="str">
        <f>IF(COUNTA(C119)=1,MAX(B$107:B118)+1,"")</f>
        <v/>
      </c>
      <c r="C119" s="808"/>
      <c r="D119" s="809"/>
      <c r="E119" s="809"/>
      <c r="F119" s="809"/>
      <c r="G119" s="809"/>
      <c r="H119" s="810"/>
      <c r="I119" s="808"/>
      <c r="J119" s="809"/>
      <c r="K119" s="809"/>
      <c r="L119" s="809"/>
      <c r="M119" s="809"/>
      <c r="N119" s="809"/>
      <c r="O119" s="811">
        <v>0</v>
      </c>
      <c r="P119" s="812"/>
      <c r="Q119" s="812">
        <v>0</v>
      </c>
      <c r="R119" s="807">
        <f t="shared" si="2"/>
        <v>0</v>
      </c>
      <c r="S119" s="1174"/>
    </row>
    <row r="120" spans="2:19">
      <c r="B120" s="210" t="str">
        <f>IF(COUNTA(C120)=1,MAX(B$107:B119)+1,"")</f>
        <v/>
      </c>
      <c r="C120" s="808"/>
      <c r="D120" s="809"/>
      <c r="E120" s="809"/>
      <c r="F120" s="809"/>
      <c r="G120" s="809"/>
      <c r="H120" s="810"/>
      <c r="I120" s="808"/>
      <c r="J120" s="809"/>
      <c r="K120" s="809"/>
      <c r="L120" s="809"/>
      <c r="M120" s="809"/>
      <c r="N120" s="809"/>
      <c r="O120" s="811">
        <v>0</v>
      </c>
      <c r="P120" s="812"/>
      <c r="Q120" s="812">
        <v>0</v>
      </c>
      <c r="R120" s="807">
        <f t="shared" si="2"/>
        <v>0</v>
      </c>
      <c r="S120" s="1174"/>
    </row>
    <row r="121" spans="2:19">
      <c r="B121" s="210" t="str">
        <f>IF(COUNTA(C121)=1,MAX(B$107:B120)+1,"")</f>
        <v/>
      </c>
      <c r="C121" s="808"/>
      <c r="D121" s="809"/>
      <c r="E121" s="809"/>
      <c r="F121" s="809"/>
      <c r="G121" s="809"/>
      <c r="H121" s="810"/>
      <c r="I121" s="808"/>
      <c r="J121" s="809"/>
      <c r="K121" s="809"/>
      <c r="L121" s="809"/>
      <c r="M121" s="809"/>
      <c r="N121" s="809"/>
      <c r="O121" s="811">
        <v>0</v>
      </c>
      <c r="P121" s="812"/>
      <c r="Q121" s="812">
        <v>0</v>
      </c>
      <c r="R121" s="807">
        <f t="shared" si="2"/>
        <v>0</v>
      </c>
      <c r="S121" s="1174"/>
    </row>
    <row r="122" spans="2:19">
      <c r="B122" s="210" t="str">
        <f>IF(COUNTA(C122)=1,MAX(B$107:B121)+1,"")</f>
        <v/>
      </c>
      <c r="C122" s="808"/>
      <c r="D122" s="809"/>
      <c r="E122" s="809"/>
      <c r="F122" s="809"/>
      <c r="G122" s="809"/>
      <c r="H122" s="810"/>
      <c r="I122" s="808"/>
      <c r="J122" s="809"/>
      <c r="K122" s="809"/>
      <c r="L122" s="809"/>
      <c r="M122" s="809"/>
      <c r="N122" s="809"/>
      <c r="O122" s="811">
        <v>0</v>
      </c>
      <c r="P122" s="812"/>
      <c r="Q122" s="812">
        <v>0</v>
      </c>
      <c r="R122" s="807">
        <f t="shared" si="2"/>
        <v>0</v>
      </c>
      <c r="S122" s="1174"/>
    </row>
    <row r="123" spans="2:19">
      <c r="B123" s="210" t="str">
        <f>IF(COUNTA(C123)=1,MAX(B$107:B122)+1,"")</f>
        <v/>
      </c>
      <c r="C123" s="808"/>
      <c r="D123" s="809"/>
      <c r="E123" s="809"/>
      <c r="F123" s="809"/>
      <c r="G123" s="809"/>
      <c r="H123" s="810"/>
      <c r="I123" s="808"/>
      <c r="J123" s="809"/>
      <c r="K123" s="809"/>
      <c r="L123" s="809"/>
      <c r="M123" s="809"/>
      <c r="N123" s="809"/>
      <c r="O123" s="811">
        <v>0</v>
      </c>
      <c r="P123" s="812"/>
      <c r="Q123" s="812">
        <v>0</v>
      </c>
      <c r="R123" s="807">
        <f t="shared" si="2"/>
        <v>0</v>
      </c>
      <c r="S123" s="1174"/>
    </row>
    <row r="124" spans="2:19">
      <c r="B124" s="210" t="str">
        <f>IF(COUNTA(C124)=1,MAX(B$107:B123)+1,"")</f>
        <v/>
      </c>
      <c r="C124" s="808"/>
      <c r="D124" s="809"/>
      <c r="E124" s="809"/>
      <c r="F124" s="809"/>
      <c r="G124" s="809"/>
      <c r="H124" s="810"/>
      <c r="I124" s="808"/>
      <c r="J124" s="809"/>
      <c r="K124" s="809"/>
      <c r="L124" s="809"/>
      <c r="M124" s="809"/>
      <c r="N124" s="809"/>
      <c r="O124" s="811">
        <v>0</v>
      </c>
      <c r="P124" s="812"/>
      <c r="Q124" s="812">
        <v>0</v>
      </c>
      <c r="R124" s="807">
        <f t="shared" si="2"/>
        <v>0</v>
      </c>
      <c r="S124" s="1174"/>
    </row>
    <row r="125" spans="2:19">
      <c r="B125" s="210" t="str">
        <f>IF(COUNTA(C125)=1,MAX(B$107:B124)+1,"")</f>
        <v/>
      </c>
      <c r="C125" s="808"/>
      <c r="D125" s="809"/>
      <c r="E125" s="809"/>
      <c r="F125" s="809"/>
      <c r="G125" s="809"/>
      <c r="H125" s="810"/>
      <c r="I125" s="808"/>
      <c r="J125" s="809"/>
      <c r="K125" s="809"/>
      <c r="L125" s="809"/>
      <c r="M125" s="809"/>
      <c r="N125" s="809"/>
      <c r="O125" s="811">
        <v>0</v>
      </c>
      <c r="P125" s="812"/>
      <c r="Q125" s="812">
        <v>0</v>
      </c>
      <c r="R125" s="807">
        <f t="shared" si="2"/>
        <v>0</v>
      </c>
      <c r="S125" s="1174"/>
    </row>
    <row r="126" spans="2:19">
      <c r="B126" s="210" t="str">
        <f>IF(COUNTA(C126)=1,MAX(B$107:B125)+1,"")</f>
        <v/>
      </c>
      <c r="C126" s="808"/>
      <c r="D126" s="809"/>
      <c r="E126" s="809"/>
      <c r="F126" s="809"/>
      <c r="G126" s="809"/>
      <c r="H126" s="810"/>
      <c r="I126" s="808"/>
      <c r="J126" s="809"/>
      <c r="K126" s="809"/>
      <c r="L126" s="809"/>
      <c r="M126" s="809"/>
      <c r="N126" s="809"/>
      <c r="O126" s="811">
        <v>0</v>
      </c>
      <c r="P126" s="812"/>
      <c r="Q126" s="812">
        <v>0</v>
      </c>
      <c r="R126" s="807">
        <f t="shared" si="2"/>
        <v>0</v>
      </c>
      <c r="S126" s="1174"/>
    </row>
    <row r="127" spans="2:19">
      <c r="B127" s="210" t="str">
        <f>IF(COUNTA(C127)=1,MAX(B$107:B126)+1,"")</f>
        <v/>
      </c>
      <c r="C127" s="808"/>
      <c r="D127" s="809"/>
      <c r="E127" s="809"/>
      <c r="F127" s="809"/>
      <c r="G127" s="809"/>
      <c r="H127" s="810"/>
      <c r="I127" s="808"/>
      <c r="J127" s="809"/>
      <c r="K127" s="809"/>
      <c r="L127" s="809"/>
      <c r="M127" s="809"/>
      <c r="N127" s="809"/>
      <c r="O127" s="811">
        <v>0</v>
      </c>
      <c r="P127" s="812"/>
      <c r="Q127" s="812">
        <v>0</v>
      </c>
      <c r="R127" s="807">
        <f t="shared" si="2"/>
        <v>0</v>
      </c>
      <c r="S127" s="1174"/>
    </row>
    <row r="128" spans="2:19">
      <c r="B128" s="210" t="str">
        <f>IF(COUNTA(C128)=1,MAX(B$107:B127)+1,"")</f>
        <v/>
      </c>
      <c r="C128" s="808"/>
      <c r="D128" s="809"/>
      <c r="E128" s="809"/>
      <c r="F128" s="809"/>
      <c r="G128" s="809"/>
      <c r="H128" s="810"/>
      <c r="I128" s="808"/>
      <c r="J128" s="809"/>
      <c r="K128" s="809"/>
      <c r="L128" s="809"/>
      <c r="M128" s="809"/>
      <c r="N128" s="809"/>
      <c r="O128" s="811">
        <v>0</v>
      </c>
      <c r="P128" s="812"/>
      <c r="Q128" s="812">
        <v>0</v>
      </c>
      <c r="R128" s="807">
        <f t="shared" si="2"/>
        <v>0</v>
      </c>
      <c r="S128" s="1174"/>
    </row>
    <row r="129" spans="2:19">
      <c r="B129" s="210" t="str">
        <f>IF(COUNTA(C129)=1,MAX(B$107:B128)+1,"")</f>
        <v/>
      </c>
      <c r="C129" s="808"/>
      <c r="D129" s="809"/>
      <c r="E129" s="809"/>
      <c r="F129" s="809"/>
      <c r="G129" s="809"/>
      <c r="H129" s="810"/>
      <c r="I129" s="808"/>
      <c r="J129" s="809"/>
      <c r="K129" s="809"/>
      <c r="L129" s="809"/>
      <c r="M129" s="809"/>
      <c r="N129" s="809"/>
      <c r="O129" s="811">
        <v>0</v>
      </c>
      <c r="P129" s="812"/>
      <c r="Q129" s="812">
        <v>0</v>
      </c>
      <c r="R129" s="807">
        <f t="shared" si="2"/>
        <v>0</v>
      </c>
      <c r="S129" s="1174"/>
    </row>
    <row r="130" spans="2:19">
      <c r="B130" s="210" t="str">
        <f>IF(COUNTA(C130)=1,MAX(B$107:B129)+1,"")</f>
        <v/>
      </c>
      <c r="C130" s="808"/>
      <c r="D130" s="809"/>
      <c r="E130" s="809"/>
      <c r="F130" s="809"/>
      <c r="G130" s="809"/>
      <c r="H130" s="810"/>
      <c r="I130" s="808"/>
      <c r="J130" s="809"/>
      <c r="K130" s="809"/>
      <c r="L130" s="809"/>
      <c r="M130" s="809"/>
      <c r="N130" s="809"/>
      <c r="O130" s="811">
        <v>0</v>
      </c>
      <c r="P130" s="812"/>
      <c r="Q130" s="812">
        <v>0</v>
      </c>
      <c r="R130" s="807">
        <f t="shared" si="2"/>
        <v>0</v>
      </c>
      <c r="S130" s="1174"/>
    </row>
    <row r="131" spans="2:19">
      <c r="B131" s="210" t="str">
        <f>IF(COUNTA(C131)=1,MAX(B$107:B130)+1,"")</f>
        <v/>
      </c>
      <c r="C131" s="808"/>
      <c r="D131" s="809"/>
      <c r="E131" s="809"/>
      <c r="F131" s="809"/>
      <c r="G131" s="809"/>
      <c r="H131" s="810"/>
      <c r="I131" s="808"/>
      <c r="J131" s="809"/>
      <c r="K131" s="809"/>
      <c r="L131" s="809"/>
      <c r="M131" s="809"/>
      <c r="N131" s="809"/>
      <c r="O131" s="811">
        <v>0</v>
      </c>
      <c r="P131" s="812"/>
      <c r="Q131" s="812">
        <v>0</v>
      </c>
      <c r="R131" s="807">
        <f t="shared" si="2"/>
        <v>0</v>
      </c>
      <c r="S131" s="1174"/>
    </row>
    <row r="132" spans="2:19">
      <c r="B132" s="210" t="str">
        <f>IF(COUNTA(C132)=1,MAX(B$107:B131)+1,"")</f>
        <v/>
      </c>
      <c r="C132" s="808"/>
      <c r="D132" s="809"/>
      <c r="E132" s="809"/>
      <c r="F132" s="809"/>
      <c r="G132" s="809"/>
      <c r="H132" s="810"/>
      <c r="I132" s="808"/>
      <c r="J132" s="809"/>
      <c r="K132" s="809"/>
      <c r="L132" s="809"/>
      <c r="M132" s="809"/>
      <c r="N132" s="809"/>
      <c r="O132" s="811">
        <v>0</v>
      </c>
      <c r="P132" s="812"/>
      <c r="Q132" s="812">
        <v>0</v>
      </c>
      <c r="R132" s="807">
        <f t="shared" si="2"/>
        <v>0</v>
      </c>
      <c r="S132" s="1174"/>
    </row>
    <row r="133" spans="2:19">
      <c r="B133" s="210" t="str">
        <f>IF(COUNTA(C133)=1,MAX(B$107:B132)+1,"")</f>
        <v/>
      </c>
      <c r="C133" s="808"/>
      <c r="D133" s="809"/>
      <c r="E133" s="809"/>
      <c r="F133" s="809"/>
      <c r="G133" s="809"/>
      <c r="H133" s="810"/>
      <c r="I133" s="808"/>
      <c r="J133" s="809"/>
      <c r="K133" s="809"/>
      <c r="L133" s="809"/>
      <c r="M133" s="809"/>
      <c r="N133" s="809"/>
      <c r="O133" s="811">
        <v>0</v>
      </c>
      <c r="P133" s="812"/>
      <c r="Q133" s="812">
        <v>0</v>
      </c>
      <c r="R133" s="807">
        <f t="shared" si="2"/>
        <v>0</v>
      </c>
      <c r="S133" s="1174"/>
    </row>
    <row r="134" spans="2:19">
      <c r="B134" s="210" t="str">
        <f>IF(COUNTA(C134)=1,MAX(B$107:B133)+1,"")</f>
        <v/>
      </c>
      <c r="C134" s="808"/>
      <c r="D134" s="809"/>
      <c r="E134" s="809"/>
      <c r="F134" s="809"/>
      <c r="G134" s="809"/>
      <c r="H134" s="810"/>
      <c r="I134" s="808"/>
      <c r="J134" s="809"/>
      <c r="K134" s="809"/>
      <c r="L134" s="809"/>
      <c r="M134" s="809"/>
      <c r="N134" s="809"/>
      <c r="O134" s="811">
        <v>0</v>
      </c>
      <c r="P134" s="812"/>
      <c r="Q134" s="812">
        <v>0</v>
      </c>
      <c r="R134" s="807">
        <f t="shared" si="2"/>
        <v>0</v>
      </c>
      <c r="S134" s="1174"/>
    </row>
    <row r="135" spans="2:19">
      <c r="B135" s="210" t="str">
        <f>IF(COUNTA(C135)=1,MAX(B$107:B134)+1,"")</f>
        <v/>
      </c>
      <c r="C135" s="808"/>
      <c r="D135" s="809"/>
      <c r="E135" s="809"/>
      <c r="F135" s="809"/>
      <c r="G135" s="809"/>
      <c r="H135" s="810"/>
      <c r="I135" s="808"/>
      <c r="J135" s="809"/>
      <c r="K135" s="809"/>
      <c r="L135" s="809"/>
      <c r="M135" s="809"/>
      <c r="N135" s="809"/>
      <c r="O135" s="811">
        <v>0</v>
      </c>
      <c r="P135" s="812"/>
      <c r="Q135" s="812">
        <v>0</v>
      </c>
      <c r="R135" s="807">
        <f t="shared" si="2"/>
        <v>0</v>
      </c>
      <c r="S135" s="1174"/>
    </row>
    <row r="136" spans="2:19">
      <c r="B136" s="210" t="str">
        <f>IF(COUNTA(C136)=1,MAX(B$107:B135)+1,"")</f>
        <v/>
      </c>
      <c r="C136" s="808"/>
      <c r="D136" s="809"/>
      <c r="E136" s="809"/>
      <c r="F136" s="809"/>
      <c r="G136" s="809"/>
      <c r="H136" s="810"/>
      <c r="I136" s="808"/>
      <c r="J136" s="809"/>
      <c r="K136" s="809"/>
      <c r="L136" s="809"/>
      <c r="M136" s="809"/>
      <c r="N136" s="809"/>
      <c r="O136" s="811">
        <v>0</v>
      </c>
      <c r="P136" s="812"/>
      <c r="Q136" s="812">
        <v>0</v>
      </c>
      <c r="R136" s="807">
        <f t="shared" si="2"/>
        <v>0</v>
      </c>
      <c r="S136" s="1174"/>
    </row>
    <row r="137" spans="2:19">
      <c r="B137" s="210" t="str">
        <f>IF(COUNTA(C137)=1,MAX(B$107:B136)+1,"")</f>
        <v/>
      </c>
      <c r="C137" s="808"/>
      <c r="D137" s="809"/>
      <c r="E137" s="809"/>
      <c r="F137" s="809"/>
      <c r="G137" s="809"/>
      <c r="H137" s="810"/>
      <c r="I137" s="808"/>
      <c r="J137" s="809"/>
      <c r="K137" s="809"/>
      <c r="L137" s="809"/>
      <c r="M137" s="809"/>
      <c r="N137" s="809"/>
      <c r="O137" s="811">
        <v>0</v>
      </c>
      <c r="P137" s="812"/>
      <c r="Q137" s="812">
        <v>0</v>
      </c>
      <c r="R137" s="807">
        <f t="shared" si="2"/>
        <v>0</v>
      </c>
      <c r="S137" s="1174"/>
    </row>
    <row r="138" spans="2:19">
      <c r="B138" s="210" t="str">
        <f>IF(COUNTA(C138)=1,MAX(B$107:B137)+1,"")</f>
        <v/>
      </c>
      <c r="C138" s="808"/>
      <c r="D138" s="809"/>
      <c r="E138" s="809"/>
      <c r="F138" s="809"/>
      <c r="G138" s="809"/>
      <c r="H138" s="810"/>
      <c r="I138" s="808"/>
      <c r="J138" s="809"/>
      <c r="K138" s="809"/>
      <c r="L138" s="809"/>
      <c r="M138" s="809"/>
      <c r="N138" s="809"/>
      <c r="O138" s="811">
        <v>0</v>
      </c>
      <c r="P138" s="812"/>
      <c r="Q138" s="812">
        <v>0</v>
      </c>
      <c r="R138" s="807">
        <f t="shared" si="2"/>
        <v>0</v>
      </c>
      <c r="S138" s="1174"/>
    </row>
    <row r="139" spans="2:19">
      <c r="B139" s="210" t="str">
        <f>IF(COUNTA(C139)=1,MAX(B$107:B138)+1,"")</f>
        <v/>
      </c>
      <c r="C139" s="808"/>
      <c r="D139" s="809"/>
      <c r="E139" s="809"/>
      <c r="F139" s="809"/>
      <c r="G139" s="809"/>
      <c r="H139" s="810"/>
      <c r="I139" s="808"/>
      <c r="J139" s="809"/>
      <c r="K139" s="809"/>
      <c r="L139" s="809"/>
      <c r="M139" s="809"/>
      <c r="N139" s="809"/>
      <c r="O139" s="811">
        <v>0</v>
      </c>
      <c r="P139" s="812"/>
      <c r="Q139" s="812">
        <v>0</v>
      </c>
      <c r="R139" s="807">
        <f t="shared" si="2"/>
        <v>0</v>
      </c>
      <c r="S139" s="1174"/>
    </row>
    <row r="140" spans="2:19">
      <c r="B140" s="210" t="str">
        <f>IF(COUNTA(C140)=1,MAX(B$107:B139)+1,"")</f>
        <v/>
      </c>
      <c r="C140" s="808"/>
      <c r="D140" s="809"/>
      <c r="E140" s="809"/>
      <c r="F140" s="809"/>
      <c r="G140" s="809"/>
      <c r="H140" s="810"/>
      <c r="I140" s="808"/>
      <c r="J140" s="809"/>
      <c r="K140" s="809"/>
      <c r="L140" s="809"/>
      <c r="M140" s="809"/>
      <c r="N140" s="809"/>
      <c r="O140" s="811">
        <v>0</v>
      </c>
      <c r="P140" s="812"/>
      <c r="Q140" s="812">
        <v>0</v>
      </c>
      <c r="R140" s="807">
        <f t="shared" si="2"/>
        <v>0</v>
      </c>
      <c r="S140" s="1174"/>
    </row>
    <row r="141" spans="2:19">
      <c r="B141" s="210" t="str">
        <f>IF(COUNTA(C141)=1,MAX(B$107:B140)+1,"")</f>
        <v/>
      </c>
      <c r="C141" s="808"/>
      <c r="D141" s="809"/>
      <c r="E141" s="809"/>
      <c r="F141" s="809"/>
      <c r="G141" s="809"/>
      <c r="H141" s="810"/>
      <c r="I141" s="808"/>
      <c r="J141" s="809"/>
      <c r="K141" s="809"/>
      <c r="L141" s="809"/>
      <c r="M141" s="809"/>
      <c r="N141" s="809"/>
      <c r="O141" s="811">
        <v>0</v>
      </c>
      <c r="P141" s="812"/>
      <c r="Q141" s="812">
        <v>0</v>
      </c>
      <c r="R141" s="807">
        <f t="shared" si="2"/>
        <v>0</v>
      </c>
      <c r="S141" s="1174"/>
    </row>
    <row r="142" spans="2:19">
      <c r="B142" s="210" t="str">
        <f>IF(COUNTA(C142)=1,MAX(B$107:B141)+1,"")</f>
        <v/>
      </c>
      <c r="C142" s="808"/>
      <c r="D142" s="809"/>
      <c r="E142" s="809"/>
      <c r="F142" s="809"/>
      <c r="G142" s="809"/>
      <c r="H142" s="810"/>
      <c r="I142" s="808"/>
      <c r="J142" s="809"/>
      <c r="K142" s="809"/>
      <c r="L142" s="809"/>
      <c r="M142" s="809"/>
      <c r="N142" s="809"/>
      <c r="O142" s="811">
        <v>0</v>
      </c>
      <c r="P142" s="812"/>
      <c r="Q142" s="812">
        <v>0</v>
      </c>
      <c r="R142" s="807">
        <f t="shared" si="2"/>
        <v>0</v>
      </c>
      <c r="S142" s="1174"/>
    </row>
    <row r="143" spans="2:19">
      <c r="B143" s="210" t="str">
        <f>IF(COUNTA(C143)=1,MAX(B$107:B142)+1,"")</f>
        <v/>
      </c>
      <c r="C143" s="808"/>
      <c r="D143" s="809"/>
      <c r="E143" s="809"/>
      <c r="F143" s="809"/>
      <c r="G143" s="809"/>
      <c r="H143" s="810"/>
      <c r="I143" s="808"/>
      <c r="J143" s="809"/>
      <c r="K143" s="809"/>
      <c r="L143" s="809"/>
      <c r="M143" s="809"/>
      <c r="N143" s="809"/>
      <c r="O143" s="811">
        <v>0</v>
      </c>
      <c r="P143" s="812"/>
      <c r="Q143" s="812">
        <v>0</v>
      </c>
      <c r="R143" s="807">
        <f t="shared" si="2"/>
        <v>0</v>
      </c>
      <c r="S143" s="1174"/>
    </row>
    <row r="144" spans="2:19">
      <c r="B144" s="210" t="str">
        <f>IF(COUNTA(C144)=1,MAX(B$107:B143)+1,"")</f>
        <v/>
      </c>
      <c r="C144" s="808"/>
      <c r="D144" s="809"/>
      <c r="E144" s="809"/>
      <c r="F144" s="809"/>
      <c r="G144" s="809"/>
      <c r="H144" s="810"/>
      <c r="I144" s="808"/>
      <c r="J144" s="809"/>
      <c r="K144" s="809"/>
      <c r="L144" s="809"/>
      <c r="M144" s="809"/>
      <c r="N144" s="809"/>
      <c r="O144" s="811">
        <v>0</v>
      </c>
      <c r="P144" s="812"/>
      <c r="Q144" s="812">
        <v>0</v>
      </c>
      <c r="R144" s="807">
        <f t="shared" si="2"/>
        <v>0</v>
      </c>
      <c r="S144" s="1174"/>
    </row>
    <row r="145" spans="2:19">
      <c r="B145" s="210" t="str">
        <f>IF(COUNTA(C145)=1,MAX(B$107:B144)+1,"")</f>
        <v/>
      </c>
      <c r="C145" s="808"/>
      <c r="D145" s="809"/>
      <c r="E145" s="809"/>
      <c r="F145" s="809"/>
      <c r="G145" s="809"/>
      <c r="H145" s="810"/>
      <c r="I145" s="808"/>
      <c r="J145" s="809"/>
      <c r="K145" s="809"/>
      <c r="L145" s="809"/>
      <c r="M145" s="809"/>
      <c r="N145" s="809"/>
      <c r="O145" s="811">
        <v>0</v>
      </c>
      <c r="P145" s="812"/>
      <c r="Q145" s="812">
        <v>0</v>
      </c>
      <c r="R145" s="807">
        <f t="shared" si="2"/>
        <v>0</v>
      </c>
      <c r="S145" s="1174"/>
    </row>
    <row r="146" spans="2:19">
      <c r="B146" s="210" t="str">
        <f>IF(COUNTA(C146)=1,MAX(B$107:B145)+1,"")</f>
        <v/>
      </c>
      <c r="C146" s="808"/>
      <c r="D146" s="809"/>
      <c r="E146" s="809"/>
      <c r="F146" s="809"/>
      <c r="G146" s="809"/>
      <c r="H146" s="810"/>
      <c r="I146" s="808"/>
      <c r="J146" s="809"/>
      <c r="K146" s="809"/>
      <c r="L146" s="809"/>
      <c r="M146" s="809"/>
      <c r="N146" s="809"/>
      <c r="O146" s="811">
        <v>0</v>
      </c>
      <c r="P146" s="812"/>
      <c r="Q146" s="812">
        <v>0</v>
      </c>
      <c r="R146" s="807">
        <f t="shared" si="2"/>
        <v>0</v>
      </c>
      <c r="S146" s="1174"/>
    </row>
    <row r="147" spans="2:19">
      <c r="B147" s="210" t="str">
        <f>IF(COUNTA(C147)=1,MAX(B$107:B146)+1,"")</f>
        <v/>
      </c>
      <c r="C147" s="808"/>
      <c r="D147" s="809"/>
      <c r="E147" s="809"/>
      <c r="F147" s="809"/>
      <c r="G147" s="809"/>
      <c r="H147" s="810"/>
      <c r="I147" s="808"/>
      <c r="J147" s="809"/>
      <c r="K147" s="809"/>
      <c r="L147" s="809"/>
      <c r="M147" s="809"/>
      <c r="N147" s="809"/>
      <c r="O147" s="811">
        <v>0</v>
      </c>
      <c r="P147" s="812"/>
      <c r="Q147" s="812">
        <v>0</v>
      </c>
      <c r="R147" s="807">
        <f t="shared" si="2"/>
        <v>0</v>
      </c>
      <c r="S147" s="1174"/>
    </row>
    <row r="148" spans="2:19">
      <c r="B148" s="210" t="str">
        <f>IF(COUNTA(C148)=1,MAX(B$107:B147)+1,"")</f>
        <v/>
      </c>
      <c r="C148" s="808"/>
      <c r="D148" s="809"/>
      <c r="E148" s="809"/>
      <c r="F148" s="809"/>
      <c r="G148" s="809"/>
      <c r="H148" s="810"/>
      <c r="I148" s="808"/>
      <c r="J148" s="809"/>
      <c r="K148" s="809"/>
      <c r="L148" s="809"/>
      <c r="M148" s="809"/>
      <c r="N148" s="809"/>
      <c r="O148" s="811">
        <v>0</v>
      </c>
      <c r="P148" s="812"/>
      <c r="Q148" s="812">
        <v>0</v>
      </c>
      <c r="R148" s="807">
        <f t="shared" si="2"/>
        <v>0</v>
      </c>
      <c r="S148" s="1174"/>
    </row>
    <row r="149" spans="2:19">
      <c r="B149" s="210" t="str">
        <f>IF(COUNTA(C149)=1,MAX(B$107:B148)+1,"")</f>
        <v/>
      </c>
      <c r="C149" s="808"/>
      <c r="D149" s="809"/>
      <c r="E149" s="809"/>
      <c r="F149" s="809"/>
      <c r="G149" s="809"/>
      <c r="H149" s="810"/>
      <c r="I149" s="808"/>
      <c r="J149" s="809"/>
      <c r="K149" s="809"/>
      <c r="L149" s="809"/>
      <c r="M149" s="809"/>
      <c r="N149" s="809"/>
      <c r="O149" s="811">
        <v>0</v>
      </c>
      <c r="P149" s="812"/>
      <c r="Q149" s="812">
        <v>0</v>
      </c>
      <c r="R149" s="807">
        <f t="shared" si="2"/>
        <v>0</v>
      </c>
      <c r="S149" s="1174"/>
    </row>
    <row r="150" spans="2:19">
      <c r="B150" s="210" t="str">
        <f>IF(COUNTA(C150)=1,MAX(B$107:B149)+1,"")</f>
        <v/>
      </c>
      <c r="C150" s="808"/>
      <c r="D150" s="809"/>
      <c r="E150" s="809"/>
      <c r="F150" s="809"/>
      <c r="G150" s="809"/>
      <c r="H150" s="810"/>
      <c r="I150" s="808"/>
      <c r="J150" s="809"/>
      <c r="K150" s="809"/>
      <c r="L150" s="809"/>
      <c r="M150" s="809"/>
      <c r="N150" s="809"/>
      <c r="O150" s="811">
        <v>0</v>
      </c>
      <c r="P150" s="812"/>
      <c r="Q150" s="812">
        <v>0</v>
      </c>
      <c r="R150" s="807">
        <f t="shared" si="2"/>
        <v>0</v>
      </c>
      <c r="S150" s="1174"/>
    </row>
    <row r="151" spans="2:19">
      <c r="B151" s="210" t="str">
        <f>IF(COUNTA(C151)=1,MAX(B$107:B150)+1,"")</f>
        <v/>
      </c>
      <c r="C151" s="808"/>
      <c r="D151" s="809"/>
      <c r="E151" s="809"/>
      <c r="F151" s="809"/>
      <c r="G151" s="809"/>
      <c r="H151" s="810"/>
      <c r="I151" s="808"/>
      <c r="J151" s="809"/>
      <c r="K151" s="809"/>
      <c r="L151" s="809"/>
      <c r="M151" s="809"/>
      <c r="N151" s="809"/>
      <c r="O151" s="811">
        <v>0</v>
      </c>
      <c r="P151" s="812"/>
      <c r="Q151" s="812">
        <v>0</v>
      </c>
      <c r="R151" s="807">
        <f t="shared" si="2"/>
        <v>0</v>
      </c>
      <c r="S151" s="1174"/>
    </row>
    <row r="152" spans="2:19">
      <c r="B152" s="210" t="str">
        <f>IF(COUNTA(C152)=1,MAX(B$107:B151)+1,"")</f>
        <v/>
      </c>
      <c r="C152" s="808"/>
      <c r="D152" s="809"/>
      <c r="E152" s="809"/>
      <c r="F152" s="809"/>
      <c r="G152" s="809"/>
      <c r="H152" s="810"/>
      <c r="I152" s="808"/>
      <c r="J152" s="809"/>
      <c r="K152" s="809"/>
      <c r="L152" s="809"/>
      <c r="M152" s="809"/>
      <c r="N152" s="809"/>
      <c r="O152" s="811">
        <v>0</v>
      </c>
      <c r="P152" s="812"/>
      <c r="Q152" s="812">
        <v>0</v>
      </c>
      <c r="R152" s="807">
        <f t="shared" si="2"/>
        <v>0</v>
      </c>
      <c r="S152" s="1174"/>
    </row>
    <row r="153" spans="2:19">
      <c r="B153" s="210" t="str">
        <f>IF(COUNTA(C153)=1,MAX(B$107:B152)+1,"")</f>
        <v/>
      </c>
      <c r="C153" s="808"/>
      <c r="D153" s="809"/>
      <c r="E153" s="809"/>
      <c r="F153" s="809"/>
      <c r="G153" s="809"/>
      <c r="H153" s="810"/>
      <c r="I153" s="808"/>
      <c r="J153" s="809"/>
      <c r="K153" s="809"/>
      <c r="L153" s="809"/>
      <c r="M153" s="809"/>
      <c r="N153" s="809"/>
      <c r="O153" s="811">
        <v>0</v>
      </c>
      <c r="P153" s="812"/>
      <c r="Q153" s="812">
        <v>0</v>
      </c>
      <c r="R153" s="807">
        <f t="shared" si="2"/>
        <v>0</v>
      </c>
      <c r="S153" s="1174"/>
    </row>
    <row r="154" spans="2:19">
      <c r="B154" s="210" t="str">
        <f>IF(COUNTA(C154)=1,MAX(B$107:B153)+1,"")</f>
        <v/>
      </c>
      <c r="C154" s="808"/>
      <c r="D154" s="809"/>
      <c r="E154" s="809"/>
      <c r="F154" s="809"/>
      <c r="G154" s="809"/>
      <c r="H154" s="810"/>
      <c r="I154" s="808"/>
      <c r="J154" s="809"/>
      <c r="K154" s="809"/>
      <c r="L154" s="809"/>
      <c r="M154" s="809"/>
      <c r="N154" s="809"/>
      <c r="O154" s="811">
        <v>0</v>
      </c>
      <c r="P154" s="812"/>
      <c r="Q154" s="812">
        <v>0</v>
      </c>
      <c r="R154" s="807">
        <f t="shared" si="2"/>
        <v>0</v>
      </c>
      <c r="S154" s="1174"/>
    </row>
    <row r="155" spans="2:19">
      <c r="B155" s="210" t="str">
        <f>IF(COUNTA(C155)=1,MAX(B$107:B154)+1,"")</f>
        <v/>
      </c>
      <c r="C155" s="808"/>
      <c r="D155" s="809"/>
      <c r="E155" s="809"/>
      <c r="F155" s="809"/>
      <c r="G155" s="809"/>
      <c r="H155" s="810"/>
      <c r="I155" s="808"/>
      <c r="J155" s="809"/>
      <c r="K155" s="809"/>
      <c r="L155" s="809"/>
      <c r="M155" s="809"/>
      <c r="N155" s="809"/>
      <c r="O155" s="811">
        <v>0</v>
      </c>
      <c r="P155" s="812"/>
      <c r="Q155" s="812">
        <v>0</v>
      </c>
      <c r="R155" s="807">
        <f t="shared" si="2"/>
        <v>0</v>
      </c>
      <c r="S155" s="1174"/>
    </row>
    <row r="156" spans="2:19">
      <c r="B156" s="210" t="str">
        <f>IF(COUNTA(C156)=1,MAX(B$107:B155)+1,"")</f>
        <v/>
      </c>
      <c r="C156" s="808"/>
      <c r="D156" s="809"/>
      <c r="E156" s="809"/>
      <c r="F156" s="809"/>
      <c r="G156" s="809"/>
      <c r="H156" s="810"/>
      <c r="I156" s="808"/>
      <c r="J156" s="809"/>
      <c r="K156" s="809"/>
      <c r="L156" s="809"/>
      <c r="M156" s="809"/>
      <c r="N156" s="809"/>
      <c r="O156" s="811">
        <v>0</v>
      </c>
      <c r="P156" s="812"/>
      <c r="Q156" s="812">
        <v>0</v>
      </c>
      <c r="R156" s="807">
        <f t="shared" si="2"/>
        <v>0</v>
      </c>
      <c r="S156" s="1174"/>
    </row>
  </sheetData>
  <sheetProtection algorithmName="SHA-512" hashValue="P8T3dqWR934DjbzEy1swsl4/PpOOHIgb6nszQIf2Xg2sZx01UJsYo7CFjrn2AN3422/HAIjz5+bh77DOoYydxA==" saltValue="G/6kOiILiNVN+/DofpvafA==" spinCount="100000" sheet="1" selectLockedCells="1"/>
  <mergeCells count="10">
    <mergeCell ref="P103:Q103"/>
    <mergeCell ref="P105:Q105"/>
    <mergeCell ref="D27:E27"/>
    <mergeCell ref="D28:E28"/>
    <mergeCell ref="Q1:Q2"/>
    <mergeCell ref="L1:L2"/>
    <mergeCell ref="M1:M2"/>
    <mergeCell ref="N1:N2"/>
    <mergeCell ref="O1:O2"/>
    <mergeCell ref="P1:P2"/>
  </mergeCells>
  <conditionalFormatting sqref="E21">
    <cfRule type="cellIs" dxfId="43" priority="7" stopIfTrue="1" operator="equal">
      <formula>1</formula>
    </cfRule>
  </conditionalFormatting>
  <conditionalFormatting sqref="E86">
    <cfRule type="cellIs" dxfId="42" priority="13" stopIfTrue="1" operator="equal">
      <formula>1</formula>
    </cfRule>
  </conditionalFormatting>
  <conditionalFormatting sqref="N6">
    <cfRule type="cellIs" dxfId="41" priority="6" operator="equal">
      <formula>1</formula>
    </cfRule>
  </conditionalFormatting>
  <conditionalFormatting sqref="N18">
    <cfRule type="cellIs" dxfId="40" priority="5" operator="equal">
      <formula>1</formula>
    </cfRule>
  </conditionalFormatting>
  <conditionalFormatting sqref="N22:N23">
    <cfRule type="cellIs" dxfId="39" priority="21" stopIfTrue="1" operator="equal">
      <formula>0</formula>
    </cfRule>
  </conditionalFormatting>
  <conditionalFormatting sqref="O10">
    <cfRule type="cellIs" dxfId="38" priority="1" operator="equal">
      <formula>1</formula>
    </cfRule>
  </conditionalFormatting>
  <conditionalFormatting sqref="O18 N19:O20">
    <cfRule type="cellIs" dxfId="37" priority="14" stopIfTrue="1" operator="equal">
      <formula>0</formula>
    </cfRule>
  </conditionalFormatting>
  <conditionalFormatting sqref="R107:R156">
    <cfRule type="cellIs" dxfId="36" priority="2" operator="notEqual">
      <formula>1</formula>
    </cfRule>
    <cfRule type="cellIs" dxfId="35" priority="3" operator="equal">
      <formula>1</formula>
    </cfRule>
  </conditionalFormatting>
  <conditionalFormatting sqref="S65">
    <cfRule type="cellIs" dxfId="34" priority="19" operator="equal">
      <formula>1</formula>
    </cfRule>
    <cfRule type="cellIs" dxfId="33" priority="20" operator="notEqual">
      <formula>1</formula>
    </cfRule>
  </conditionalFormatting>
  <dataValidations count="5">
    <dataValidation type="decimal" errorStyle="information" operator="lessThanOrEqual" allowBlank="1" showInputMessage="1" showErrorMessage="1" error="Bitte nur Werte bis max. 15% verwenden." prompt="Bitte nur Werte bis max. 15% verwenden." sqref="E84" xr:uid="{CED6CFD0-31C3-4FDC-8497-335609AF2123}">
      <formula1>0.15</formula1>
    </dataValidation>
    <dataValidation type="list" allowBlank="1" showInputMessage="1" showErrorMessage="1" sqref="Q25:Q29" xr:uid="{DE6F55FC-8C32-45D4-BB6F-8CA7A06E94F1}">
      <formula1>"Büro, Labor, Allg. Lehren und Lernen, Fachspez. Lehre, Lager, Weitere STB"</formula1>
    </dataValidation>
    <dataValidation type="list" allowBlank="1" sqref="E86 E21" xr:uid="{A9C48A07-12E0-4305-AE5F-A6D813BDE690}">
      <formula1>"ja, nein"</formula1>
    </dataValidation>
    <dataValidation allowBlank="1" showInputMessage="1" showErrorMessage="1" prompt="Für die weitere Berechnung werden nur Werte bis max. 100% übernommen." sqref="S89" xr:uid="{C39011D9-85BA-4C22-B215-8ADED5AC4160}"/>
    <dataValidation type="list" allowBlank="1" showInputMessage="1" showErrorMessage="1" sqref="O107:Q156" xr:uid="{01A277BF-11D1-47C6-B753-033D407848F6}">
      <formula1>"0%,50%,100%"</formula1>
    </dataValidation>
  </dataValidations>
  <pageMargins left="0.59055118110236227" right="0.59055118110236227" top="0.78740157480314965" bottom="0.59055118110236227" header="0.51181102362204722" footer="0.27559055118110237"/>
  <pageSetup paperSize="9" scale="79" orientation="portrait" r:id="rId1"/>
  <headerFooter alignWithMargins="0">
    <oddFooter>&amp;C&amp;8Seite &amp;P von &amp;N</oddFooter>
  </headerFooter>
  <rowBreaks count="1" manualBreakCount="1">
    <brk id="51"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45A08-F499-4A52-A8F5-6B5AD76263AD}">
  <sheetPr codeName="Tabelle15">
    <tabColor theme="6" tint="-0.249977111117893"/>
  </sheetPr>
  <dimension ref="A1:X129"/>
  <sheetViews>
    <sheetView showGridLines="0" showZeros="0" zoomScale="115" zoomScaleNormal="115" zoomScaleSheetLayoutView="115" workbookViewId="0">
      <selection activeCell="B9" sqref="B9"/>
    </sheetView>
  </sheetViews>
  <sheetFormatPr baseColWidth="10" defaultColWidth="11.453125" defaultRowHeight="10"/>
  <cols>
    <col min="1" max="1" width="0.54296875" style="1" customWidth="1"/>
    <col min="2" max="2" width="9.54296875" style="1" customWidth="1"/>
    <col min="3" max="3" width="6.54296875" style="1" customWidth="1"/>
    <col min="4" max="4" width="5.54296875" style="1" customWidth="1"/>
    <col min="5" max="5" width="5.453125" style="1" customWidth="1"/>
    <col min="6" max="6" width="1.81640625" style="1" customWidth="1"/>
    <col min="7" max="7" width="1.453125" style="1" customWidth="1"/>
    <col min="8" max="9" width="7.453125" style="1" customWidth="1"/>
    <col min="10" max="10" width="7.453125" style="42" customWidth="1"/>
    <col min="11" max="11" width="7.453125" style="1" customWidth="1"/>
    <col min="12" max="12" width="7.453125" style="42" customWidth="1"/>
    <col min="13" max="13" width="7.453125" style="1" customWidth="1"/>
    <col min="14" max="15" width="7.453125" style="42" customWidth="1"/>
    <col min="16" max="16" width="8.54296875" style="42" customWidth="1"/>
    <col min="17" max="17" width="7.453125" style="42" customWidth="1"/>
    <col min="18" max="18" width="0.81640625" style="42" customWidth="1"/>
    <col min="19" max="19" width="7.453125" style="42" customWidth="1"/>
    <col min="20" max="20" width="1.1796875" style="1" customWidth="1"/>
    <col min="21" max="21" width="7.1796875" style="202" customWidth="1"/>
    <col min="22" max="24" width="7.26953125" style="202" customWidth="1"/>
    <col min="25" max="16384" width="11.453125" style="1"/>
  </cols>
  <sheetData>
    <row r="1" spans="1:24" ht="13" customHeight="1">
      <c r="A1" s="7"/>
      <c r="B1" s="8"/>
      <c r="C1" s="8"/>
      <c r="D1" s="8"/>
      <c r="E1" s="8"/>
      <c r="F1" s="9"/>
      <c r="H1" s="214"/>
      <c r="I1" s="216"/>
      <c r="J1" s="108"/>
      <c r="K1" s="9"/>
      <c r="L1" s="1364" t="s">
        <v>57</v>
      </c>
      <c r="M1" s="1364" t="s">
        <v>108</v>
      </c>
      <c r="N1" s="1364" t="s">
        <v>126</v>
      </c>
      <c r="O1" s="1364" t="s">
        <v>58</v>
      </c>
      <c r="P1" s="1356" t="s">
        <v>11</v>
      </c>
      <c r="Q1" s="1358" t="s">
        <v>113</v>
      </c>
      <c r="R1" s="341"/>
      <c r="S1" s="332"/>
    </row>
    <row r="2" spans="1:24" ht="38.15" customHeight="1">
      <c r="A2" s="13"/>
      <c r="B2" s="2" t="s">
        <v>24</v>
      </c>
      <c r="C2" s="96"/>
      <c r="D2" s="96"/>
      <c r="E2" s="96"/>
      <c r="F2" s="97"/>
      <c r="H2" s="210" t="s">
        <v>111</v>
      </c>
      <c r="I2" s="3"/>
      <c r="J2" s="49"/>
      <c r="K2" s="14"/>
      <c r="L2" s="1365"/>
      <c r="M2" s="1365"/>
      <c r="N2" s="1365"/>
      <c r="O2" s="1365"/>
      <c r="P2" s="1357"/>
      <c r="Q2" s="1359"/>
      <c r="R2" s="341"/>
      <c r="S2" s="332"/>
      <c r="V2" s="12" t="s">
        <v>863</v>
      </c>
    </row>
    <row r="3" spans="1:24" ht="3" customHeight="1">
      <c r="A3" s="98"/>
      <c r="B3" s="99"/>
      <c r="C3" s="99"/>
      <c r="D3" s="99"/>
      <c r="E3" s="99"/>
      <c r="F3" s="100"/>
      <c r="H3" s="215"/>
      <c r="I3" s="217"/>
      <c r="J3" s="218"/>
      <c r="K3" s="100"/>
      <c r="L3" s="4"/>
      <c r="M3" s="4"/>
      <c r="N3" s="4"/>
      <c r="O3" s="4"/>
      <c r="P3" s="5"/>
      <c r="Q3" s="6"/>
      <c r="R3" s="333"/>
      <c r="S3" s="333"/>
    </row>
    <row r="4" spans="1:24">
      <c r="A4" s="2"/>
      <c r="B4" s="2"/>
      <c r="C4" s="2"/>
      <c r="D4" s="2"/>
      <c r="E4" s="2"/>
      <c r="F4" s="2"/>
      <c r="H4" s="3"/>
      <c r="I4" s="3"/>
      <c r="K4" s="10"/>
      <c r="L4" s="11"/>
      <c r="M4" s="3"/>
      <c r="N4" s="11"/>
      <c r="O4" s="11"/>
      <c r="P4" s="11"/>
      <c r="Q4" s="12"/>
      <c r="R4" s="12"/>
      <c r="S4" s="12"/>
    </row>
    <row r="5" spans="1:24" ht="11.25" customHeight="1">
      <c r="A5" s="7"/>
      <c r="B5" s="8"/>
      <c r="C5" s="8"/>
      <c r="D5" s="8"/>
      <c r="E5" s="8"/>
      <c r="F5" s="9"/>
      <c r="H5" s="15" t="s">
        <v>87</v>
      </c>
      <c r="I5" s="3"/>
      <c r="K5" s="10"/>
      <c r="L5" s="11"/>
      <c r="M5" s="3"/>
      <c r="N5" s="11"/>
      <c r="O5" s="11"/>
      <c r="P5" s="11"/>
      <c r="Q5" s="12"/>
      <c r="R5" s="12"/>
      <c r="S5" s="12"/>
      <c r="V5" s="1225"/>
      <c r="W5" s="1226"/>
      <c r="X5" s="1227"/>
    </row>
    <row r="6" spans="1:24" s="19" customFormat="1" ht="11.5" customHeight="1">
      <c r="A6" s="16"/>
      <c r="B6" s="24"/>
      <c r="C6" s="17"/>
      <c r="D6" s="17"/>
      <c r="E6" s="17"/>
      <c r="F6" s="18"/>
      <c r="H6" s="203" t="s">
        <v>0</v>
      </c>
      <c r="I6" s="17"/>
      <c r="L6" s="339">
        <f>IF(E15&gt;0,E15,0)</f>
        <v>0</v>
      </c>
      <c r="M6" s="20">
        <f>IF(E15&gt;0,'HAW-Kennwerte'!C24,0)</f>
        <v>0</v>
      </c>
      <c r="N6" s="205">
        <f>IF(L6&gt;0,IF(E21="ja",'HAW-Kennwerte'!D24,1),0)</f>
        <v>0</v>
      </c>
      <c r="O6" s="22"/>
      <c r="P6" s="23">
        <f>L6*M6*N6</f>
        <v>0</v>
      </c>
      <c r="Q6" s="328">
        <f>IF(P6&gt;0,'HAW-Kennwerte'!Z21,0)</f>
        <v>0</v>
      </c>
      <c r="R6" s="328"/>
      <c r="S6" s="328"/>
      <c r="U6" s="203"/>
      <c r="V6" s="1200"/>
      <c r="W6" s="1201"/>
      <c r="X6" s="1202"/>
    </row>
    <row r="7" spans="1:24" s="19" customFormat="1" ht="11.5" customHeight="1">
      <c r="A7" s="16"/>
      <c r="B7" s="928" t="str">
        <f>HAW!B4</f>
        <v>Hochschule …</v>
      </c>
      <c r="C7" s="928"/>
      <c r="D7" s="928"/>
      <c r="E7" s="928"/>
      <c r="F7" s="18"/>
      <c r="H7" s="203" t="s">
        <v>1</v>
      </c>
      <c r="I7" s="17"/>
      <c r="L7" s="340"/>
      <c r="M7" s="20"/>
      <c r="N7" s="25"/>
      <c r="O7" s="22"/>
      <c r="P7" s="27"/>
      <c r="Q7" s="329">
        <f>IF(P7&gt;0,'HAW-Kennwerte'!AA24,0)</f>
        <v>0</v>
      </c>
      <c r="R7" s="329"/>
      <c r="S7" s="329"/>
      <c r="U7" s="203"/>
      <c r="V7" s="1200"/>
      <c r="W7" s="1201"/>
      <c r="X7" s="1202"/>
    </row>
    <row r="8" spans="1:24" s="19" customFormat="1" ht="11.5" customHeight="1">
      <c r="A8" s="16"/>
      <c r="B8" s="473">
        <f>HAW!B5</f>
        <v>0</v>
      </c>
      <c r="F8" s="18"/>
      <c r="H8" s="203" t="s">
        <v>86</v>
      </c>
      <c r="I8" s="17"/>
      <c r="L8" s="29"/>
      <c r="M8" s="20"/>
      <c r="N8" s="21"/>
      <c r="O8" s="22"/>
      <c r="P8" s="52"/>
      <c r="Q8" s="329"/>
      <c r="R8" s="329"/>
      <c r="S8" s="329"/>
      <c r="U8" s="203"/>
      <c r="V8" s="1228"/>
      <c r="W8" s="1229"/>
      <c r="X8" s="1230"/>
    </row>
    <row r="9" spans="1:24" s="19" customFormat="1" ht="11.5" customHeight="1">
      <c r="A9" s="16"/>
      <c r="B9" s="382" t="s">
        <v>93</v>
      </c>
      <c r="C9" s="383"/>
      <c r="D9" s="383"/>
      <c r="E9" s="383"/>
      <c r="F9" s="18"/>
      <c r="H9" s="203" t="s">
        <v>159</v>
      </c>
      <c r="I9" s="17"/>
      <c r="L9" s="339"/>
      <c r="M9" s="30"/>
      <c r="N9" s="21"/>
      <c r="O9" s="22"/>
      <c r="P9" s="52"/>
      <c r="Q9" s="329"/>
      <c r="R9" s="329"/>
      <c r="S9" s="329"/>
      <c r="U9" s="203"/>
      <c r="V9" s="1228"/>
      <c r="W9" s="1229"/>
      <c r="X9" s="1230"/>
    </row>
    <row r="10" spans="1:24" s="19" customFormat="1" ht="11.5" customHeight="1">
      <c r="A10" s="16"/>
      <c r="B10" s="382" t="s">
        <v>92</v>
      </c>
      <c r="C10" s="384"/>
      <c r="D10" s="384"/>
      <c r="E10" s="384"/>
      <c r="F10" s="18"/>
      <c r="H10" s="204" t="s">
        <v>19</v>
      </c>
      <c r="I10" s="17"/>
      <c r="L10" s="765">
        <f>IF(SUM($E$17:$E$18)&gt;0,$S$84,0)</f>
        <v>0</v>
      </c>
      <c r="M10" s="30">
        <f>IF($L$10&gt;0,'HAW-Kennwerte'!R24,0)</f>
        <v>0</v>
      </c>
      <c r="N10" s="205">
        <f>IF(L10&gt;0,E19,0)</f>
        <v>0</v>
      </c>
      <c r="O10" s="26">
        <f>IF(E84&gt;0.15,0,IFERROR((M10+M10*0.9*E84*0.4)/M10,0))</f>
        <v>0</v>
      </c>
      <c r="P10" s="27">
        <f>L10*N10*(M10*O10+IF(E86="ja",'HAW-Kennwerte'!$R$29,0))</f>
        <v>0</v>
      </c>
      <c r="Q10" s="329"/>
      <c r="R10" s="329"/>
      <c r="S10" s="329"/>
      <c r="U10" s="203"/>
      <c r="V10" s="1200"/>
      <c r="W10" s="1201"/>
      <c r="X10" s="1202"/>
    </row>
    <row r="11" spans="1:24" s="19" customFormat="1" ht="11.5" customHeight="1">
      <c r="A11" s="16"/>
      <c r="B11" s="56"/>
      <c r="C11" s="56"/>
      <c r="D11" s="56"/>
      <c r="E11" s="56"/>
      <c r="F11" s="18"/>
      <c r="H11" s="204" t="s">
        <v>91</v>
      </c>
      <c r="I11" s="17"/>
      <c r="L11" s="765">
        <f>IF(SUM($E$17:$E$18)&gt;0,SUM($E$17:$E$18),0)</f>
        <v>0</v>
      </c>
      <c r="M11" s="249">
        <f>IF($L$11&gt;0,'HAW-Kennwerte'!S24,0)</f>
        <v>0</v>
      </c>
      <c r="N11" s="205">
        <f>IF(L11&gt;0,E19,0)</f>
        <v>0</v>
      </c>
      <c r="O11" s="22"/>
      <c r="P11" s="31">
        <f>L11*M11*N11</f>
        <v>0</v>
      </c>
      <c r="Q11" s="329"/>
      <c r="R11" s="329"/>
      <c r="S11" s="329"/>
      <c r="U11" s="203"/>
      <c r="V11" s="1200"/>
      <c r="W11" s="1201"/>
      <c r="X11" s="1202"/>
    </row>
    <row r="12" spans="1:24" s="19" customFormat="1" ht="11.5" customHeight="1">
      <c r="A12" s="16"/>
      <c r="B12" s="24" t="s">
        <v>8</v>
      </c>
      <c r="F12" s="18"/>
      <c r="H12" s="204" t="s">
        <v>109</v>
      </c>
      <c r="I12" s="17"/>
      <c r="L12" s="766">
        <f>IF($E$17&gt;0,$E$17,0)</f>
        <v>0</v>
      </c>
      <c r="M12" s="577">
        <f>IF(L12&gt;0,'HAW-Kennwerte'!V24,0)</f>
        <v>0</v>
      </c>
      <c r="N12" s="205">
        <f>IF(L12&gt;0,IF(E19=0,0,IF(E19&lt;0.7,0.7,E19)),0)</f>
        <v>0</v>
      </c>
      <c r="O12" s="896">
        <f>IFERROR(IF(L12&gt;0,('HAW-Kennwerte'!U24+Gesund!E24*'HAW-Kennwerte'!V24+Gesund!E25*'HAW-Kennwerte'!W24)/'HAW-Kennwerte'!V24,0),"")</f>
        <v>0</v>
      </c>
      <c r="P12" s="31">
        <f>IFERROR(L12*M12*N12*O12,"")</f>
        <v>0</v>
      </c>
      <c r="Q12" s="329">
        <f>IF(P12&gt;0,'HAW-Kennwerte'!AA24,0)</f>
        <v>0</v>
      </c>
      <c r="R12" s="329"/>
      <c r="S12" s="329"/>
      <c r="U12" s="203"/>
      <c r="V12" s="1200"/>
      <c r="W12" s="1201"/>
      <c r="X12" s="1202"/>
    </row>
    <row r="13" spans="1:24" s="19" customFormat="1" ht="11.5" customHeight="1">
      <c r="A13" s="16"/>
      <c r="B13" s="56" t="s">
        <v>271</v>
      </c>
      <c r="F13" s="18"/>
      <c r="H13" s="204" t="s">
        <v>110</v>
      </c>
      <c r="I13" s="17"/>
      <c r="L13" s="766">
        <f>IF($E$18&gt;0,$E$18,0)</f>
        <v>0</v>
      </c>
      <c r="M13" s="30">
        <f>IF(L13&gt;0,'HAW-Kennwerte'!X24,0)</f>
        <v>0</v>
      </c>
      <c r="N13" s="205">
        <f>IF(L13&gt;0,IF(E19=0,0,IF(E19&lt;0.7,0.7,E19)),0)</f>
        <v>0</v>
      </c>
      <c r="O13" s="822"/>
      <c r="P13" s="31">
        <f>L13*M13*N13</f>
        <v>0</v>
      </c>
      <c r="Q13" s="329">
        <f>IF(P13&gt;0,'HAW-Kennwerte'!AA24,0)</f>
        <v>0</v>
      </c>
      <c r="R13" s="329"/>
      <c r="S13" s="329"/>
      <c r="U13" s="203"/>
      <c r="V13" s="1200"/>
      <c r="W13" s="1201"/>
      <c r="X13" s="1202"/>
    </row>
    <row r="14" spans="1:24" s="19" customFormat="1" ht="11.5" customHeight="1">
      <c r="A14" s="16"/>
      <c r="C14" s="56"/>
      <c r="F14" s="18"/>
      <c r="H14" s="203" t="s">
        <v>20</v>
      </c>
      <c r="I14" s="17"/>
      <c r="K14" s="112"/>
      <c r="L14" s="32"/>
      <c r="M14" s="17"/>
      <c r="N14" s="32"/>
      <c r="O14" s="33"/>
      <c r="P14" s="34">
        <f>SUMPRODUCT(P6:P13,Q6:Q13)</f>
        <v>0</v>
      </c>
      <c r="Q14" s="330"/>
      <c r="R14" s="330"/>
      <c r="S14" s="330"/>
      <c r="U14" s="203"/>
      <c r="V14" s="1200"/>
      <c r="W14" s="1201"/>
      <c r="X14" s="1202"/>
    </row>
    <row r="15" spans="1:24" s="19" customFormat="1" ht="10.5">
      <c r="A15" s="16"/>
      <c r="B15" s="17"/>
      <c r="C15" s="17"/>
      <c r="D15" s="246" t="s">
        <v>73</v>
      </c>
      <c r="E15" s="407"/>
      <c r="F15" s="18"/>
      <c r="H15" s="17"/>
      <c r="I15" s="17"/>
      <c r="K15" s="35"/>
      <c r="L15" s="36"/>
      <c r="M15" s="17"/>
      <c r="N15" s="35"/>
      <c r="O15" s="35"/>
      <c r="P15" s="38">
        <f>SUM(P6:P14)</f>
        <v>0</v>
      </c>
      <c r="Q15" s="330"/>
      <c r="R15" s="330"/>
      <c r="S15" s="330"/>
      <c r="U15" s="203"/>
      <c r="V15" s="1228"/>
      <c r="W15" s="1229"/>
      <c r="X15" s="1230"/>
    </row>
    <row r="16" spans="1:24" s="19" customFormat="1" ht="11.25" customHeight="1">
      <c r="A16" s="16"/>
      <c r="B16" s="17"/>
      <c r="D16" s="223" t="s">
        <v>75</v>
      </c>
      <c r="E16" s="407"/>
      <c r="F16" s="18"/>
      <c r="H16" s="17"/>
      <c r="I16" s="17"/>
      <c r="K16" s="35"/>
      <c r="L16" s="36"/>
      <c r="M16" s="17"/>
      <c r="N16" s="35"/>
      <c r="O16" s="35"/>
      <c r="Q16" s="330"/>
      <c r="R16" s="330"/>
      <c r="S16" s="330"/>
      <c r="U16" s="203"/>
      <c r="V16" s="1228"/>
      <c r="W16" s="1229"/>
      <c r="X16" s="1230"/>
    </row>
    <row r="17" spans="1:24" s="19" customFormat="1">
      <c r="A17" s="16"/>
      <c r="B17" s="17"/>
      <c r="C17" s="17"/>
      <c r="D17" s="223" t="s">
        <v>185</v>
      </c>
      <c r="E17" s="764">
        <f>L84</f>
        <v>0</v>
      </c>
      <c r="F17" s="18"/>
      <c r="H17" s="24" t="s">
        <v>12</v>
      </c>
      <c r="I17" s="17"/>
      <c r="K17" s="35"/>
      <c r="L17" s="36"/>
      <c r="M17" s="17"/>
      <c r="N17" s="35"/>
      <c r="O17" s="35"/>
      <c r="P17" s="37"/>
      <c r="Q17" s="330"/>
      <c r="R17" s="330"/>
      <c r="S17" s="330"/>
      <c r="U17" s="203"/>
      <c r="V17" s="1228"/>
      <c r="W17" s="1229"/>
      <c r="X17" s="1230"/>
    </row>
    <row r="18" spans="1:24" s="19" customFormat="1" ht="11.5" customHeight="1">
      <c r="A18" s="16"/>
      <c r="B18" s="17"/>
      <c r="C18" s="17"/>
      <c r="D18" s="223" t="s">
        <v>186</v>
      </c>
      <c r="E18" s="764">
        <f>Q84</f>
        <v>0</v>
      </c>
      <c r="F18" s="18"/>
      <c r="H18" s="203" t="s">
        <v>0</v>
      </c>
      <c r="I18" s="17"/>
      <c r="L18" s="39">
        <f>E20/100</f>
        <v>0</v>
      </c>
      <c r="M18" s="30">
        <f>IF(N46=0,IF(E20&gt;0,'HAW-Kennwerte'!F24,0),'HAW-Kennwerte'!E24*81600/N46)</f>
        <v>0</v>
      </c>
      <c r="N18" s="205">
        <f>IF(L18&gt;0,IF(E21="ja",'HAW-Kennwerte'!G24,1),0)</f>
        <v>0</v>
      </c>
      <c r="O18" s="205"/>
      <c r="P18" s="23">
        <f>L18*M18*N18</f>
        <v>0</v>
      </c>
      <c r="Q18" s="328">
        <f>IF(P18&gt;0,Q6,0)</f>
        <v>0</v>
      </c>
      <c r="R18" s="328"/>
      <c r="S18" s="328"/>
      <c r="U18" s="203"/>
      <c r="V18" s="1200"/>
      <c r="W18" s="1201"/>
      <c r="X18" s="1202"/>
    </row>
    <row r="19" spans="1:24" s="19" customFormat="1" ht="11.5" customHeight="1">
      <c r="A19" s="16"/>
      <c r="B19" s="17"/>
      <c r="C19" s="17"/>
      <c r="D19" s="53" t="s">
        <v>27</v>
      </c>
      <c r="E19" s="688">
        <f>S88</f>
        <v>0</v>
      </c>
      <c r="F19" s="18"/>
      <c r="H19" s="203" t="s">
        <v>1</v>
      </c>
      <c r="I19" s="17"/>
      <c r="L19" s="39"/>
      <c r="M19" s="30"/>
      <c r="N19" s="25"/>
      <c r="O19" s="25"/>
      <c r="P19" s="52"/>
      <c r="Q19" s="329"/>
      <c r="R19" s="329"/>
      <c r="S19" s="329"/>
      <c r="U19" s="203"/>
      <c r="V19" s="1200"/>
      <c r="W19" s="1201"/>
      <c r="X19" s="1202"/>
    </row>
    <row r="20" spans="1:24" s="19" customFormat="1" ht="11.5" customHeight="1">
      <c r="A20" s="16"/>
      <c r="B20" s="17"/>
      <c r="C20" s="17"/>
      <c r="D20" s="53" t="s">
        <v>28</v>
      </c>
      <c r="E20" s="55">
        <f>H47</f>
        <v>0</v>
      </c>
      <c r="F20" s="18"/>
      <c r="H20" s="203" t="s">
        <v>159</v>
      </c>
      <c r="I20" s="17"/>
      <c r="L20" s="39"/>
      <c r="M20" s="30"/>
      <c r="N20" s="21"/>
      <c r="O20" s="25"/>
      <c r="P20" s="52">
        <f>L20*M20</f>
        <v>0</v>
      </c>
      <c r="Q20" s="329"/>
      <c r="R20" s="329"/>
      <c r="S20" s="329"/>
      <c r="U20" s="203"/>
      <c r="V20" s="1228"/>
      <c r="W20" s="1229"/>
      <c r="X20" s="1230"/>
    </row>
    <row r="21" spans="1:24" s="19" customFormat="1" ht="11.5" customHeight="1">
      <c r="A21" s="16"/>
      <c r="B21" s="17"/>
      <c r="C21" s="17"/>
      <c r="D21" s="223" t="s">
        <v>247</v>
      </c>
      <c r="E21" s="815" t="s">
        <v>248</v>
      </c>
      <c r="F21" s="18"/>
      <c r="H21" s="203" t="s">
        <v>20</v>
      </c>
      <c r="I21" s="17"/>
      <c r="P21" s="34">
        <f>SUMPRODUCT(P18:P20,Q18:Q20)</f>
        <v>0</v>
      </c>
      <c r="Q21" s="329"/>
      <c r="R21" s="329"/>
      <c r="S21" s="329"/>
      <c r="U21" s="203"/>
      <c r="V21" s="1200"/>
      <c r="W21" s="1201"/>
      <c r="X21" s="1202"/>
    </row>
    <row r="22" spans="1:24" s="19" customFormat="1" ht="11.5" customHeight="1">
      <c r="A22" s="16"/>
      <c r="B22" s="17"/>
      <c r="C22" s="2"/>
      <c r="D22" s="237" t="s">
        <v>264</v>
      </c>
      <c r="F22" s="18"/>
      <c r="I22" s="17"/>
      <c r="K22" s="17"/>
      <c r="L22" s="213"/>
      <c r="M22" s="17"/>
      <c r="N22" s="112"/>
      <c r="O22" s="212"/>
      <c r="P22" s="38">
        <f>SUM(P18:P21)</f>
        <v>0</v>
      </c>
      <c r="Q22" s="28"/>
      <c r="R22" s="28"/>
      <c r="S22" s="28"/>
      <c r="U22" s="203"/>
      <c r="V22" s="1228"/>
      <c r="W22" s="1229"/>
      <c r="X22" s="1230"/>
    </row>
    <row r="23" spans="1:24" s="19" customFormat="1" ht="11.5" customHeight="1">
      <c r="A23" s="16"/>
      <c r="B23" s="17"/>
      <c r="C23" s="2"/>
      <c r="D23" s="223" t="s">
        <v>263</v>
      </c>
      <c r="E23" s="408">
        <f>O107</f>
        <v>0</v>
      </c>
      <c r="F23" s="18"/>
      <c r="I23" s="17"/>
      <c r="J23" s="112"/>
      <c r="K23" s="17"/>
      <c r="L23" s="44"/>
      <c r="M23" s="17"/>
      <c r="N23" s="112"/>
      <c r="O23" s="212"/>
      <c r="R23" s="40"/>
      <c r="S23" s="40"/>
      <c r="U23" s="203"/>
      <c r="V23" s="1228"/>
      <c r="W23" s="1229"/>
      <c r="X23" s="1230"/>
    </row>
    <row r="24" spans="1:24" ht="12.65" customHeight="1">
      <c r="A24" s="13"/>
      <c r="B24" s="2"/>
      <c r="C24" s="17"/>
      <c r="D24" s="223" t="s">
        <v>180</v>
      </c>
      <c r="E24" s="57">
        <f>IF(SUM(E23,E25)&gt;0,1-SUM(E23,E25),0)</f>
        <v>0</v>
      </c>
      <c r="F24" s="14"/>
      <c r="I24" s="24" t="s">
        <v>15</v>
      </c>
      <c r="J24" s="1"/>
      <c r="K24" s="17"/>
      <c r="L24" s="41"/>
      <c r="M24" s="2"/>
      <c r="P24" s="43"/>
      <c r="Q24" s="1185" t="s">
        <v>789</v>
      </c>
      <c r="R24" s="12"/>
      <c r="S24" s="12"/>
      <c r="V24" s="1231"/>
      <c r="W24" s="1232"/>
      <c r="X24" s="1174"/>
    </row>
    <row r="25" spans="1:24" ht="11.15" customHeight="1">
      <c r="A25" s="13"/>
      <c r="B25" s="2"/>
      <c r="D25" s="223" t="s">
        <v>181</v>
      </c>
      <c r="E25" s="408">
        <f>Q107</f>
        <v>0</v>
      </c>
      <c r="F25" s="14"/>
      <c r="I25" s="1169" t="s">
        <v>293</v>
      </c>
      <c r="J25" s="385"/>
      <c r="K25" s="385"/>
      <c r="L25" s="386"/>
      <c r="M25" s="387"/>
      <c r="N25" s="388"/>
      <c r="P25" s="404"/>
      <c r="Q25" s="720"/>
      <c r="R25" s="813"/>
      <c r="S25" s="813"/>
      <c r="V25" s="1231"/>
      <c r="W25" s="1232"/>
      <c r="X25" s="1174"/>
    </row>
    <row r="26" spans="1:24">
      <c r="A26" s="13"/>
      <c r="B26" s="2"/>
      <c r="C26" s="2"/>
      <c r="D26" s="2"/>
      <c r="E26" s="2"/>
      <c r="F26" s="14"/>
      <c r="I26" s="1170"/>
      <c r="J26" s="389"/>
      <c r="K26" s="389"/>
      <c r="L26" s="390"/>
      <c r="M26" s="389"/>
      <c r="N26" s="391"/>
      <c r="P26" s="405"/>
      <c r="Q26" s="720"/>
      <c r="R26" s="813"/>
      <c r="S26" s="813"/>
      <c r="V26" s="1231"/>
      <c r="W26" s="1232"/>
      <c r="X26" s="1174"/>
    </row>
    <row r="27" spans="1:24" s="19" customFormat="1" ht="11.5" customHeight="1">
      <c r="A27" s="16"/>
      <c r="B27" s="17"/>
      <c r="C27" s="53" t="s">
        <v>29</v>
      </c>
      <c r="D27" s="1367">
        <f>HAW!D24</f>
        <v>0</v>
      </c>
      <c r="E27" s="1368"/>
      <c r="F27" s="18"/>
      <c r="I27" s="1170"/>
      <c r="J27" s="392"/>
      <c r="K27" s="392"/>
      <c r="L27" s="392"/>
      <c r="M27" s="392"/>
      <c r="N27" s="393"/>
      <c r="O27" s="35"/>
      <c r="P27" s="405"/>
      <c r="Q27" s="721"/>
      <c r="R27" s="814"/>
      <c r="S27" s="814"/>
      <c r="U27" s="203"/>
      <c r="V27" s="1228"/>
      <c r="W27" s="1229"/>
      <c r="X27" s="1230"/>
    </row>
    <row r="28" spans="1:24" s="19" customFormat="1" ht="11.5" customHeight="1">
      <c r="A28" s="16"/>
      <c r="B28" s="17"/>
      <c r="C28" s="53" t="s">
        <v>30</v>
      </c>
      <c r="D28" s="1369">
        <f>HAW!D25</f>
        <v>0</v>
      </c>
      <c r="E28" s="1370"/>
      <c r="F28" s="18"/>
      <c r="I28" s="1170"/>
      <c r="J28" s="392"/>
      <c r="K28" s="392"/>
      <c r="L28" s="392"/>
      <c r="M28" s="392"/>
      <c r="N28" s="392"/>
      <c r="P28" s="405"/>
      <c r="Q28" s="721"/>
      <c r="R28" s="814"/>
      <c r="S28" s="814"/>
      <c r="U28" s="203"/>
      <c r="V28" s="1228"/>
      <c r="W28" s="1229"/>
      <c r="X28" s="1230"/>
    </row>
    <row r="29" spans="1:24" s="19" customFormat="1" ht="11.5" customHeight="1">
      <c r="A29" s="102"/>
      <c r="B29" s="103"/>
      <c r="C29" s="103"/>
      <c r="D29" s="103"/>
      <c r="E29" s="103"/>
      <c r="F29" s="104"/>
      <c r="I29" s="1170"/>
      <c r="J29" s="392"/>
      <c r="K29" s="392"/>
      <c r="L29" s="392"/>
      <c r="M29" s="392"/>
      <c r="N29" s="392"/>
      <c r="P29" s="406"/>
      <c r="Q29" s="721"/>
      <c r="R29" s="814"/>
      <c r="S29" s="814"/>
      <c r="U29" s="203"/>
      <c r="V29" s="1228"/>
      <c r="W29" s="1229"/>
      <c r="X29" s="1230"/>
    </row>
    <row r="30" spans="1:24" s="19" customFormat="1" ht="11.25" customHeight="1">
      <c r="A30" s="17"/>
      <c r="I30" s="17"/>
      <c r="P30" s="38">
        <f>SUM(P25:P29)</f>
        <v>0</v>
      </c>
      <c r="Q30" s="40"/>
      <c r="R30" s="40"/>
      <c r="S30" s="40"/>
      <c r="U30" s="203"/>
      <c r="V30" s="1228"/>
      <c r="W30" s="1229"/>
      <c r="X30" s="1230"/>
    </row>
    <row r="31" spans="1:24" ht="11.25" customHeight="1">
      <c r="A31" s="2"/>
      <c r="B31" s="2"/>
      <c r="C31" s="2"/>
      <c r="H31" s="106"/>
      <c r="I31" s="224"/>
      <c r="J31" s="225"/>
      <c r="K31" s="224"/>
      <c r="L31" s="226"/>
      <c r="M31" s="225"/>
      <c r="N31" s="107"/>
      <c r="O31" s="107"/>
      <c r="P31" s="227"/>
      <c r="Q31" s="50"/>
      <c r="R31" s="50"/>
      <c r="S31" s="50"/>
      <c r="V31" s="1231"/>
      <c r="W31" s="1232"/>
      <c r="X31" s="1174"/>
    </row>
    <row r="32" spans="1:24" ht="11.25" customHeight="1">
      <c r="A32" s="2"/>
      <c r="B32" s="2"/>
      <c r="C32" s="2"/>
      <c r="I32" s="47"/>
      <c r="J32" s="24"/>
      <c r="K32" s="47"/>
      <c r="L32" s="48"/>
      <c r="M32" s="24"/>
      <c r="N32" s="49"/>
      <c r="O32" s="49"/>
      <c r="P32" s="50"/>
      <c r="Q32" s="50"/>
      <c r="R32" s="50"/>
      <c r="S32" s="50"/>
      <c r="V32" s="1231"/>
      <c r="W32" s="1232"/>
      <c r="X32" s="1174"/>
    </row>
    <row r="33" spans="1:24" ht="50.15" customHeight="1" thickBot="1">
      <c r="A33" s="2"/>
      <c r="B33" s="2"/>
      <c r="C33" s="2"/>
      <c r="D33" s="2"/>
      <c r="F33" s="219" t="s">
        <v>16</v>
      </c>
      <c r="G33" s="2"/>
      <c r="H33" s="220" t="s">
        <v>0</v>
      </c>
      <c r="I33" s="220" t="s">
        <v>1</v>
      </c>
      <c r="J33" s="221" t="s">
        <v>197</v>
      </c>
      <c r="K33" s="221" t="s">
        <v>159</v>
      </c>
      <c r="L33" s="221" t="s">
        <v>198</v>
      </c>
      <c r="M33" s="221" t="s">
        <v>22</v>
      </c>
      <c r="N33" s="220" t="s">
        <v>20</v>
      </c>
      <c r="O33" s="221" t="s">
        <v>199</v>
      </c>
      <c r="T33" s="77"/>
      <c r="V33" s="1231"/>
      <c r="W33" s="1232"/>
      <c r="X33" s="1174"/>
    </row>
    <row r="34" spans="1:24" ht="17.149999999999999" customHeight="1" thickBot="1">
      <c r="B34" s="2"/>
      <c r="C34" s="2"/>
      <c r="D34" s="2"/>
      <c r="G34" s="2"/>
      <c r="H34" s="222">
        <f>P6+P18+SUMIF(Q25:Q29,H33,P25:P29)</f>
        <v>0</v>
      </c>
      <c r="I34" s="222">
        <f>P7+P19+SUMIF(Q25:Q29,I33,P25:P29)</f>
        <v>0</v>
      </c>
      <c r="J34" s="422"/>
      <c r="K34" s="422"/>
      <c r="L34" s="222">
        <f>P10+P11+SUMIF(Q25:Q29,L33,P25:P29)</f>
        <v>0</v>
      </c>
      <c r="M34" s="222">
        <f>IFERROR(P12+P13+SUMIF(Q25:Q29,M33,P25:P29),"")</f>
        <v>0</v>
      </c>
      <c r="N34" s="222">
        <f>P14+P21+SUMIF(Q25:Q29,N33,P25:P29)</f>
        <v>0</v>
      </c>
      <c r="O34" s="222">
        <f>SUMIF(Q25:Q29,O33,P25:P29)</f>
        <v>0</v>
      </c>
      <c r="P34" s="331">
        <f>SUM(H34:O34)</f>
        <v>0</v>
      </c>
      <c r="Q34" s="101"/>
      <c r="R34" s="101"/>
      <c r="S34" s="101"/>
      <c r="T34" s="77"/>
      <c r="V34" s="1231"/>
      <c r="W34" s="1232"/>
      <c r="X34" s="1174"/>
    </row>
    <row r="35" spans="1:24">
      <c r="A35" s="106"/>
      <c r="B35" s="105"/>
      <c r="C35" s="46"/>
      <c r="D35" s="46"/>
      <c r="E35" s="46"/>
      <c r="F35" s="46"/>
      <c r="G35" s="106"/>
      <c r="H35" s="106"/>
      <c r="I35" s="106"/>
      <c r="J35" s="107"/>
      <c r="K35" s="106"/>
      <c r="L35" s="107"/>
      <c r="M35" s="106"/>
      <c r="N35" s="107"/>
      <c r="O35" s="107"/>
      <c r="P35" s="107"/>
      <c r="Q35" s="107"/>
      <c r="R35" s="49"/>
      <c r="S35" s="49"/>
      <c r="T35" s="77"/>
      <c r="V35" s="1231"/>
      <c r="W35" s="1232"/>
      <c r="X35" s="1174"/>
    </row>
    <row r="36" spans="1:24">
      <c r="S36" s="49"/>
      <c r="T36" s="77"/>
      <c r="V36" s="1231"/>
      <c r="W36" s="1232"/>
      <c r="X36" s="1174"/>
    </row>
    <row r="37" spans="1:24">
      <c r="A37" s="7"/>
      <c r="B37" s="8"/>
      <c r="C37" s="8"/>
      <c r="D37" s="8"/>
      <c r="E37" s="8"/>
      <c r="F37" s="8"/>
      <c r="G37" s="8"/>
      <c r="H37" s="8"/>
      <c r="I37" s="8"/>
      <c r="J37" s="8"/>
      <c r="K37" s="8"/>
      <c r="L37" s="8"/>
      <c r="M37" s="8"/>
      <c r="N37" s="108"/>
      <c r="O37" s="108"/>
      <c r="P37" s="109"/>
      <c r="S37" s="49"/>
      <c r="T37" s="77"/>
      <c r="V37" s="1231"/>
      <c r="W37" s="1232"/>
      <c r="X37" s="1174"/>
    </row>
    <row r="38" spans="1:24" ht="10.5">
      <c r="A38" s="13"/>
      <c r="E38" s="110" t="s">
        <v>70</v>
      </c>
      <c r="F38" s="2"/>
      <c r="G38" s="2"/>
      <c r="H38" s="2"/>
      <c r="I38" s="2"/>
      <c r="J38" s="2"/>
      <c r="K38" s="238" t="s">
        <v>69</v>
      </c>
      <c r="M38" s="2"/>
      <c r="N38" s="49"/>
      <c r="O38" s="49"/>
      <c r="P38" s="111"/>
      <c r="S38" s="49"/>
      <c r="T38" s="77"/>
      <c r="V38" s="1231"/>
      <c r="W38" s="1232"/>
      <c r="X38" s="1174"/>
    </row>
    <row r="39" spans="1:24" ht="2.5" customHeight="1">
      <c r="A39" s="13"/>
      <c r="E39" s="110"/>
      <c r="F39" s="2"/>
      <c r="G39" s="2"/>
      <c r="H39" s="46"/>
      <c r="I39" s="2"/>
      <c r="J39" s="2"/>
      <c r="K39" s="2"/>
      <c r="L39" s="2"/>
      <c r="M39" s="2"/>
      <c r="N39" s="49"/>
      <c r="O39" s="49"/>
      <c r="P39" s="111"/>
      <c r="S39" s="49"/>
      <c r="T39" s="77"/>
      <c r="V39" s="1231"/>
      <c r="W39" s="1232"/>
      <c r="X39" s="1174"/>
    </row>
    <row r="40" spans="1:24" ht="11.15" customHeight="1">
      <c r="A40" s="13"/>
      <c r="E40" s="207">
        <f>IF($E$44&gt;2023,$E$44-4,"")</f>
        <v>2021</v>
      </c>
      <c r="H40" s="409"/>
      <c r="I40" s="2" t="s">
        <v>25</v>
      </c>
      <c r="J40" s="2"/>
      <c r="K40" s="2"/>
      <c r="L40" s="49"/>
      <c r="M40" s="2"/>
      <c r="N40" s="49"/>
      <c r="O40" s="49"/>
      <c r="P40" s="111"/>
      <c r="S40" s="49"/>
      <c r="T40" s="77"/>
      <c r="V40" s="1231"/>
      <c r="W40" s="1232"/>
      <c r="X40" s="1174"/>
    </row>
    <row r="41" spans="1:24" ht="11.15" customHeight="1">
      <c r="A41" s="13"/>
      <c r="E41" s="207">
        <f>IF($E$44&gt;2023,$E$44-3,"")</f>
        <v>2022</v>
      </c>
      <c r="H41" s="409"/>
      <c r="I41" s="228" t="s">
        <v>25</v>
      </c>
      <c r="J41" s="2"/>
      <c r="K41" s="2"/>
      <c r="L41" s="49"/>
      <c r="M41" s="2"/>
      <c r="N41" s="49"/>
      <c r="O41" s="49"/>
      <c r="P41" s="111"/>
      <c r="S41" s="49"/>
      <c r="T41" s="77"/>
      <c r="V41" s="1231"/>
      <c r="W41" s="1232"/>
      <c r="X41" s="1174"/>
    </row>
    <row r="42" spans="1:24" ht="11.15" customHeight="1">
      <c r="A42" s="13"/>
      <c r="E42" s="207">
        <f>IF($E$44&gt;2023,$E$44-2,"")</f>
        <v>2023</v>
      </c>
      <c r="H42" s="409"/>
      <c r="I42" s="228" t="s">
        <v>25</v>
      </c>
      <c r="J42" s="2"/>
      <c r="K42" s="2"/>
      <c r="L42" s="49"/>
      <c r="M42" s="2"/>
      <c r="N42" s="49"/>
      <c r="O42" s="49"/>
      <c r="P42" s="111"/>
      <c r="S42" s="49"/>
      <c r="T42" s="77"/>
      <c r="V42" s="1231"/>
      <c r="W42" s="1232"/>
      <c r="X42" s="1174"/>
    </row>
    <row r="43" spans="1:24" ht="11.15" customHeight="1">
      <c r="A43" s="13"/>
      <c r="E43" s="207">
        <f>IF($E$44&gt;2023,$E$44-1,"")</f>
        <v>2024</v>
      </c>
      <c r="H43" s="409"/>
      <c r="I43" s="228" t="s">
        <v>25</v>
      </c>
      <c r="J43" s="2"/>
      <c r="M43" s="207" t="s">
        <v>56</v>
      </c>
      <c r="N43" s="247">
        <f>'HAW-Kennwerte'!E29</f>
        <v>81600</v>
      </c>
      <c r="O43" s="49"/>
      <c r="P43" s="111"/>
      <c r="S43" s="49"/>
      <c r="T43" s="77"/>
      <c r="V43" s="1231"/>
      <c r="W43" s="1232"/>
      <c r="X43" s="1174"/>
    </row>
    <row r="44" spans="1:24" ht="11.15" customHeight="1">
      <c r="A44" s="13"/>
      <c r="D44" s="236" t="s">
        <v>184</v>
      </c>
      <c r="E44" s="717">
        <v>2025</v>
      </c>
      <c r="H44" s="409"/>
      <c r="I44" s="228" t="s">
        <v>25</v>
      </c>
      <c r="J44" s="49"/>
      <c r="M44" s="207" t="s">
        <v>119</v>
      </c>
      <c r="N44" s="475"/>
      <c r="O44" s="49"/>
      <c r="P44" s="111"/>
      <c r="S44" s="49"/>
      <c r="T44" s="77"/>
      <c r="V44" s="1231"/>
      <c r="W44" s="1232"/>
      <c r="X44" s="1174"/>
    </row>
    <row r="45" spans="1:24" ht="2.5" customHeight="1">
      <c r="A45" s="13"/>
      <c r="E45" s="2"/>
      <c r="F45" s="2"/>
      <c r="H45" s="2"/>
      <c r="I45" s="2"/>
      <c r="J45" s="49"/>
      <c r="M45" s="2"/>
      <c r="N45" s="2"/>
      <c r="O45" s="49"/>
      <c r="P45" s="111"/>
      <c r="S45" s="49"/>
      <c r="T45" s="77"/>
      <c r="V45" s="1231"/>
      <c r="W45" s="1232"/>
      <c r="X45" s="1174"/>
    </row>
    <row r="46" spans="1:24">
      <c r="A46" s="13"/>
      <c r="E46" s="2"/>
      <c r="F46" s="2"/>
      <c r="G46" s="116" t="s">
        <v>33</v>
      </c>
      <c r="H46" s="409"/>
      <c r="I46" s="2"/>
      <c r="J46" s="49"/>
      <c r="M46" s="116" t="s">
        <v>33</v>
      </c>
      <c r="N46" s="409"/>
      <c r="O46" s="49"/>
      <c r="P46" s="111"/>
      <c r="S46" s="49"/>
      <c r="T46" s="77"/>
      <c r="V46" s="1231"/>
      <c r="W46" s="1232"/>
      <c r="X46" s="1174"/>
    </row>
    <row r="47" spans="1:24" ht="12" customHeight="1">
      <c r="A47" s="13"/>
      <c r="E47" s="2"/>
      <c r="F47" s="2"/>
      <c r="G47" s="2"/>
      <c r="H47" s="54">
        <f>IF(H46=0,(H44*1.02*5+H43*1.04*4+H42*1.06*3+H41*1.08*2+H40*1.1)/15,H46)</f>
        <v>0</v>
      </c>
      <c r="I47" s="2"/>
      <c r="J47" s="49"/>
      <c r="M47" s="2"/>
      <c r="N47" s="54">
        <f>IF(N46&gt;0,N46,'HAW-Kennwerte'!E31)</f>
        <v>81600</v>
      </c>
      <c r="O47" s="49"/>
      <c r="P47" s="111"/>
      <c r="S47" s="49"/>
      <c r="T47" s="77"/>
      <c r="V47" s="1200"/>
      <c r="W47" s="1201"/>
      <c r="X47" s="1202"/>
    </row>
    <row r="48" spans="1:24">
      <c r="A48" s="45"/>
      <c r="B48" s="46"/>
      <c r="C48" s="46"/>
      <c r="D48" s="46"/>
      <c r="E48" s="46"/>
      <c r="F48" s="46"/>
      <c r="G48" s="46"/>
      <c r="H48" s="46"/>
      <c r="I48" s="46"/>
      <c r="J48" s="119"/>
      <c r="K48" s="46"/>
      <c r="L48" s="119"/>
      <c r="M48" s="46"/>
      <c r="N48" s="119"/>
      <c r="O48" s="119"/>
      <c r="P48" s="120"/>
      <c r="S48" s="49"/>
      <c r="T48" s="77"/>
      <c r="V48" s="1231"/>
      <c r="W48" s="1232"/>
      <c r="X48" s="1174"/>
    </row>
    <row r="49" spans="1:24" ht="11.25" customHeight="1">
      <c r="B49" s="117" t="s">
        <v>34</v>
      </c>
      <c r="S49" s="49"/>
      <c r="T49" s="2"/>
      <c r="V49" s="1231"/>
      <c r="W49" s="1232"/>
      <c r="X49" s="1174"/>
    </row>
    <row r="50" spans="1:24">
      <c r="A50" s="2"/>
      <c r="B50" s="106"/>
      <c r="C50" s="209"/>
      <c r="D50" s="106"/>
      <c r="E50" s="106"/>
      <c r="F50" s="106"/>
      <c r="G50" s="106"/>
      <c r="H50" s="106"/>
      <c r="I50" s="106"/>
      <c r="J50" s="106"/>
      <c r="K50" s="107"/>
      <c r="L50" s="106"/>
      <c r="M50" s="107"/>
      <c r="N50" s="106"/>
      <c r="O50" s="107"/>
      <c r="P50" s="107"/>
      <c r="Q50" s="107"/>
      <c r="R50" s="49"/>
      <c r="S50" s="49"/>
      <c r="T50" s="49"/>
      <c r="V50" s="1231"/>
      <c r="W50" s="1232"/>
      <c r="X50" s="1174"/>
    </row>
    <row r="51" spans="1:24">
      <c r="A51" s="2"/>
      <c r="J51" s="1"/>
      <c r="K51" s="42"/>
      <c r="L51" s="1"/>
      <c r="M51" s="42"/>
      <c r="N51" s="1"/>
      <c r="Q51" s="201" t="str">
        <f>HAW!B28</f>
        <v>Kennwertverfahren NRW für HAW; HIS-Institut für Hochschulentwicklung e.V. (24.04.2026)</v>
      </c>
      <c r="R51" s="250"/>
      <c r="S51" s="2"/>
      <c r="T51" s="2"/>
      <c r="V51" s="1231"/>
      <c r="W51" s="1232"/>
      <c r="X51" s="1174"/>
    </row>
    <row r="52" spans="1:24">
      <c r="A52" s="2"/>
      <c r="T52" s="121"/>
      <c r="V52" s="1231"/>
      <c r="W52" s="1232"/>
      <c r="X52" s="1174"/>
    </row>
    <row r="53" spans="1:24">
      <c r="A53" s="2"/>
      <c r="T53" s="121"/>
      <c r="V53" s="1231"/>
      <c r="W53" s="1232"/>
      <c r="X53" s="1174"/>
    </row>
    <row r="54" spans="1:24" ht="10.5">
      <c r="A54" s="2"/>
      <c r="B54" s="394" t="str">
        <f>IF(B8=0,B7,CONCATENATE(B7,B8))</f>
        <v>Hochschule …</v>
      </c>
      <c r="C54" s="395"/>
      <c r="D54" s="395"/>
      <c r="E54" s="395"/>
      <c r="F54" s="395"/>
      <c r="G54" s="395"/>
      <c r="H54" s="395"/>
      <c r="I54" s="395"/>
      <c r="J54" s="396"/>
      <c r="K54" s="395"/>
      <c r="L54" s="396"/>
      <c r="M54" s="395"/>
      <c r="N54" s="396"/>
      <c r="O54" s="396"/>
      <c r="P54" s="396"/>
      <c r="Q54" s="396"/>
      <c r="R54" s="396"/>
      <c r="S54" s="396"/>
      <c r="T54" s="121"/>
      <c r="V54" s="1231"/>
      <c r="W54" s="1232"/>
      <c r="X54" s="1174"/>
    </row>
    <row r="55" spans="1:24">
      <c r="A55" s="2"/>
      <c r="B55" s="395" t="str">
        <f>B9</f>
        <v>[Fakultät/Fachbereich]</v>
      </c>
      <c r="C55" s="395"/>
      <c r="D55" s="395"/>
      <c r="E55" s="395"/>
      <c r="F55" s="395"/>
      <c r="G55" s="395"/>
      <c r="H55" s="395"/>
      <c r="I55" s="395"/>
      <c r="J55" s="396"/>
      <c r="K55" s="395"/>
      <c r="L55" s="396"/>
      <c r="M55" s="395"/>
      <c r="N55" s="396"/>
      <c r="O55" s="396"/>
      <c r="P55" s="396"/>
      <c r="Q55" s="396"/>
      <c r="R55" s="396"/>
      <c r="S55" s="396"/>
      <c r="T55" s="121"/>
      <c r="V55" s="1231"/>
      <c r="W55" s="1232"/>
      <c r="X55" s="1174"/>
    </row>
    <row r="56" spans="1:24">
      <c r="A56" s="2"/>
      <c r="B56" s="395" t="str">
        <f>B10</f>
        <v>[Department, Institut o.a.]</v>
      </c>
      <c r="C56" s="395"/>
      <c r="D56" s="395"/>
      <c r="E56" s="395"/>
      <c r="F56" s="395"/>
      <c r="G56" s="395"/>
      <c r="H56" s="395"/>
      <c r="I56" s="395"/>
      <c r="J56" s="396"/>
      <c r="K56" s="395"/>
      <c r="L56" s="396"/>
      <c r="M56" s="395"/>
      <c r="N56" s="396"/>
      <c r="O56" s="396"/>
      <c r="P56" s="396"/>
      <c r="Q56" s="396"/>
      <c r="R56" s="396"/>
      <c r="S56" s="396"/>
      <c r="T56" s="121"/>
      <c r="V56" s="1231"/>
      <c r="W56" s="1232"/>
      <c r="X56" s="1174"/>
    </row>
    <row r="57" spans="1:24">
      <c r="A57" s="2"/>
      <c r="B57" s="395" t="str">
        <f>CONCATENATE(B12,": ",B13)</f>
        <v>Lehr- und Forschungsbereich: Gesundheits- und Pflegewissenschaften</v>
      </c>
      <c r="C57" s="395"/>
      <c r="D57" s="395"/>
      <c r="E57" s="395"/>
      <c r="F57" s="395"/>
      <c r="G57" s="395"/>
      <c r="H57" s="395"/>
      <c r="I57" s="395"/>
      <c r="J57" s="396"/>
      <c r="K57" s="395"/>
      <c r="L57" s="396"/>
      <c r="M57" s="395"/>
      <c r="N57" s="396"/>
      <c r="O57" s="396"/>
      <c r="P57" s="396"/>
      <c r="Q57" s="396"/>
      <c r="R57" s="396"/>
      <c r="S57" s="396"/>
      <c r="T57" s="121"/>
      <c r="V57" s="1231"/>
      <c r="W57" s="1232"/>
      <c r="X57" s="1174"/>
    </row>
    <row r="58" spans="1:24">
      <c r="A58" s="2"/>
      <c r="T58" s="121"/>
      <c r="V58" s="1231"/>
      <c r="W58" s="1232"/>
      <c r="X58" s="1174"/>
    </row>
    <row r="59" spans="1:24">
      <c r="A59" s="2"/>
      <c r="B59" s="378" t="s">
        <v>95</v>
      </c>
      <c r="T59" s="121"/>
      <c r="V59" s="1231"/>
      <c r="W59" s="1232"/>
      <c r="X59" s="1174"/>
    </row>
    <row r="60" spans="1:24" s="202" customFormat="1" ht="2.25" customHeight="1">
      <c r="A60" s="110"/>
      <c r="B60" s="909"/>
      <c r="C60" s="910"/>
      <c r="D60" s="910"/>
      <c r="E60" s="910"/>
      <c r="F60" s="910"/>
      <c r="G60" s="910"/>
      <c r="H60" s="910"/>
      <c r="I60" s="910"/>
      <c r="J60" s="544"/>
      <c r="K60" s="910"/>
      <c r="L60" s="544"/>
      <c r="M60" s="910"/>
      <c r="N60" s="544"/>
      <c r="O60" s="544"/>
      <c r="P60" s="544"/>
      <c r="Q60" s="544"/>
      <c r="R60" s="544"/>
      <c r="S60" s="544"/>
      <c r="T60" s="320"/>
      <c r="V60" s="1231"/>
      <c r="W60" s="1232"/>
      <c r="X60" s="1174"/>
    </row>
    <row r="61" spans="1:24" s="202" customFormat="1" ht="10" customHeight="1">
      <c r="A61" s="206"/>
      <c r="B61" s="210"/>
      <c r="C61" s="206"/>
      <c r="D61" s="206"/>
      <c r="E61" s="206"/>
      <c r="F61" s="206"/>
      <c r="G61" s="206"/>
      <c r="H61" s="238"/>
      <c r="I61" s="238"/>
      <c r="J61" s="239"/>
      <c r="K61" s="238"/>
      <c r="L61" s="239"/>
      <c r="M61" s="238"/>
      <c r="N61" s="239"/>
      <c r="O61" s="239"/>
      <c r="P61" s="239"/>
      <c r="Q61" s="208"/>
      <c r="R61" s="208"/>
      <c r="S61" s="1166" t="s">
        <v>60</v>
      </c>
      <c r="T61" s="321"/>
      <c r="V61" s="1231"/>
      <c r="W61" s="1232"/>
      <c r="X61" s="1174"/>
    </row>
    <row r="62" spans="1:24" s="202" customFormat="1" ht="10" customHeight="1">
      <c r="A62" s="206"/>
      <c r="B62" s="210"/>
      <c r="C62" s="206"/>
      <c r="E62" s="206"/>
      <c r="F62" s="206"/>
      <c r="G62" s="206"/>
      <c r="H62" s="240" t="s">
        <v>60</v>
      </c>
      <c r="I62" s="241"/>
      <c r="J62" s="241"/>
      <c r="K62" s="240"/>
      <c r="L62" s="240"/>
      <c r="M62" s="243" t="s">
        <v>61</v>
      </c>
      <c r="N62" s="241"/>
      <c r="O62" s="240"/>
      <c r="P62" s="240"/>
      <c r="Q62" s="240"/>
      <c r="R62" s="240"/>
      <c r="S62" s="1189" t="s">
        <v>857</v>
      </c>
      <c r="T62" s="321"/>
      <c r="V62" s="1231"/>
      <c r="W62" s="1232"/>
      <c r="X62" s="1174"/>
    </row>
    <row r="63" spans="1:24" ht="10.4" customHeight="1">
      <c r="A63" s="2"/>
      <c r="B63" s="235"/>
      <c r="C63" s="204"/>
      <c r="F63" s="2"/>
      <c r="G63" s="2"/>
      <c r="H63" s="49"/>
      <c r="I63" s="2"/>
      <c r="J63" s="2"/>
      <c r="K63" s="49"/>
      <c r="L63" s="1"/>
      <c r="M63" s="244"/>
      <c r="N63" s="2"/>
      <c r="O63" s="49"/>
      <c r="P63" s="1"/>
      <c r="Q63" s="49"/>
      <c r="R63" s="49"/>
      <c r="S63" s="234"/>
      <c r="T63" s="321"/>
      <c r="V63" s="1231"/>
      <c r="W63" s="1232"/>
      <c r="X63" s="1174"/>
    </row>
    <row r="64" spans="1:24" ht="10.5">
      <c r="A64" s="2"/>
      <c r="B64" s="235"/>
      <c r="C64" s="204"/>
      <c r="E64" s="237" t="s">
        <v>66</v>
      </c>
      <c r="F64" s="2"/>
      <c r="G64" s="2"/>
      <c r="H64" s="202" t="s">
        <v>67</v>
      </c>
      <c r="I64" s="2"/>
      <c r="J64" s="2"/>
      <c r="K64" s="49"/>
      <c r="L64" s="1"/>
      <c r="M64" s="245" t="s">
        <v>67</v>
      </c>
      <c r="N64" s="2"/>
      <c r="O64" s="49"/>
      <c r="P64" s="1"/>
      <c r="T64" s="321"/>
      <c r="V64" s="1231"/>
      <c r="W64" s="1232"/>
      <c r="X64" s="1174"/>
    </row>
    <row r="65" spans="1:24" ht="12" customHeight="1">
      <c r="A65" s="2"/>
      <c r="B65" s="210"/>
      <c r="C65" s="206"/>
      <c r="D65" s="236" t="s">
        <v>65</v>
      </c>
      <c r="E65" s="410"/>
      <c r="F65" s="2"/>
      <c r="G65" s="2"/>
      <c r="H65" s="325">
        <f>SUM(H70:H81)</f>
        <v>0</v>
      </c>
      <c r="I65" s="326"/>
      <c r="J65" s="2"/>
      <c r="K65" s="49"/>
      <c r="L65" s="1"/>
      <c r="M65" s="1191">
        <f>SUM(M70:M81)</f>
        <v>0</v>
      </c>
      <c r="N65" s="326"/>
      <c r="O65" s="49"/>
      <c r="P65" s="1"/>
      <c r="S65" s="323">
        <f>H65+M65</f>
        <v>0</v>
      </c>
      <c r="T65" s="321"/>
      <c r="V65" s="1231"/>
      <c r="W65" s="1232"/>
      <c r="X65" s="1174"/>
    </row>
    <row r="66" spans="1:24" ht="12" customHeight="1">
      <c r="A66" s="2"/>
      <c r="B66" s="210"/>
      <c r="C66" s="206"/>
      <c r="D66" s="236" t="s">
        <v>74</v>
      </c>
      <c r="E66" s="411"/>
      <c r="F66" s="2"/>
      <c r="G66" s="2"/>
      <c r="H66" s="338">
        <f>H65*SUM(E65,E66)</f>
        <v>0</v>
      </c>
      <c r="I66" s="327" t="str">
        <f>IF(H66&gt;0,"SWS","")</f>
        <v/>
      </c>
      <c r="J66" s="2"/>
      <c r="K66" s="49"/>
      <c r="L66" s="1"/>
      <c r="M66" s="1192">
        <f>M65*SUM(E65,E66)</f>
        <v>0</v>
      </c>
      <c r="N66" s="327" t="str">
        <f>IF(M66&gt;0,"SWS","")</f>
        <v/>
      </c>
      <c r="O66" s="49"/>
      <c r="P66" s="1"/>
      <c r="S66" s="55">
        <f>SUM(H66,M66)</f>
        <v>0</v>
      </c>
      <c r="T66" s="321"/>
      <c r="V66" s="1231"/>
      <c r="W66" s="1232"/>
      <c r="X66" s="1174"/>
    </row>
    <row r="67" spans="1:24" ht="10.5">
      <c r="A67" s="2"/>
      <c r="B67" s="13"/>
      <c r="C67" s="2"/>
      <c r="D67" s="2"/>
      <c r="E67" s="324">
        <f>SUM(E65:E66)</f>
        <v>0</v>
      </c>
      <c r="F67" s="2"/>
      <c r="G67" s="2"/>
      <c r="H67" s="2"/>
      <c r="I67" s="2"/>
      <c r="J67" s="2"/>
      <c r="K67" s="49"/>
      <c r="L67" s="1"/>
      <c r="M67" s="244"/>
      <c r="N67" s="2"/>
      <c r="O67" s="49"/>
      <c r="P67" s="49"/>
      <c r="Q67" s="49"/>
      <c r="R67" s="49"/>
      <c r="S67" s="49"/>
      <c r="T67" s="321"/>
      <c r="V67" s="1231"/>
      <c r="W67" s="1232"/>
      <c r="X67" s="1174"/>
    </row>
    <row r="68" spans="1:24">
      <c r="A68" s="2"/>
      <c r="B68" s="13"/>
      <c r="C68" s="2"/>
      <c r="D68" s="2"/>
      <c r="F68" s="2"/>
      <c r="G68" s="2"/>
      <c r="H68" s="2"/>
      <c r="I68" s="2"/>
      <c r="J68" s="2"/>
      <c r="K68" s="113" t="s">
        <v>97</v>
      </c>
      <c r="L68" s="1"/>
      <c r="M68" s="244"/>
      <c r="N68" s="2"/>
      <c r="O68" s="49"/>
      <c r="P68" s="113" t="s">
        <v>97</v>
      </c>
      <c r="Q68" s="49"/>
      <c r="R68" s="49"/>
      <c r="S68" s="49"/>
      <c r="T68" s="321"/>
      <c r="V68" s="1231"/>
      <c r="W68" s="1232"/>
      <c r="X68" s="1174"/>
    </row>
    <row r="69" spans="1:24" ht="13.4" customHeight="1">
      <c r="A69" s="2"/>
      <c r="B69" s="13"/>
      <c r="C69" s="2"/>
      <c r="D69" s="2"/>
      <c r="E69" s="114"/>
      <c r="F69" s="2"/>
      <c r="G69" s="2"/>
      <c r="H69" s="113" t="s">
        <v>83</v>
      </c>
      <c r="I69" s="113" t="s">
        <v>31</v>
      </c>
      <c r="J69" s="113" t="s">
        <v>32</v>
      </c>
      <c r="K69" s="113" t="s">
        <v>96</v>
      </c>
      <c r="L69" s="113" t="s">
        <v>94</v>
      </c>
      <c r="M69" s="319" t="s">
        <v>83</v>
      </c>
      <c r="N69" s="113" t="s">
        <v>31</v>
      </c>
      <c r="O69" s="113" t="s">
        <v>32</v>
      </c>
      <c r="P69" s="113" t="s">
        <v>96</v>
      </c>
      <c r="Q69" s="113" t="s">
        <v>94</v>
      </c>
      <c r="R69" s="113"/>
      <c r="S69" s="49"/>
      <c r="T69" s="321"/>
      <c r="V69" s="1231"/>
      <c r="W69" s="1232"/>
      <c r="X69" s="1174"/>
    </row>
    <row r="70" spans="1:24" ht="11.15" customHeight="1">
      <c r="A70" s="2"/>
      <c r="B70" s="13"/>
      <c r="C70" s="2"/>
      <c r="D70" s="734"/>
      <c r="E70" s="734"/>
      <c r="F70" s="740" t="s">
        <v>201</v>
      </c>
      <c r="G70" s="2"/>
      <c r="H70" s="397"/>
      <c r="I70" s="398"/>
      <c r="J70" s="399"/>
      <c r="K70" s="400"/>
      <c r="L70" s="337">
        <f>IFERROR($E$67*H70*I70/J70*K70,0)</f>
        <v>0</v>
      </c>
      <c r="M70" s="402"/>
      <c r="N70" s="398"/>
      <c r="O70" s="399"/>
      <c r="P70" s="400"/>
      <c r="Q70" s="115">
        <f>IFERROR($E$67*M70*N70/O70*P70,0)</f>
        <v>0</v>
      </c>
      <c r="R70" s="342"/>
      <c r="S70" s="49"/>
      <c r="T70" s="321"/>
      <c r="V70" s="1200"/>
      <c r="W70" s="1201"/>
      <c r="X70" s="1202"/>
    </row>
    <row r="71" spans="1:24" ht="11.15" customHeight="1">
      <c r="B71" s="13"/>
      <c r="C71" s="2"/>
      <c r="D71" s="735"/>
      <c r="E71" s="735"/>
      <c r="F71" s="741" t="s">
        <v>202</v>
      </c>
      <c r="G71" s="2"/>
      <c r="H71" s="401"/>
      <c r="I71" s="398"/>
      <c r="J71" s="399"/>
      <c r="K71" s="400"/>
      <c r="L71" s="337">
        <f>IFERROR($E$67*H71*I71/J71*K71,0)</f>
        <v>0</v>
      </c>
      <c r="M71" s="403"/>
      <c r="N71" s="398"/>
      <c r="O71" s="399"/>
      <c r="P71" s="400"/>
      <c r="Q71" s="115">
        <f t="shared" ref="Q71:Q81" si="0">IFERROR($E$67*M71*N71/O71*P71,0)</f>
        <v>0</v>
      </c>
      <c r="R71" s="342"/>
      <c r="S71" s="49"/>
      <c r="T71" s="321"/>
      <c r="V71" s="1200"/>
      <c r="W71" s="1201"/>
      <c r="X71" s="1202"/>
    </row>
    <row r="72" spans="1:24" ht="11.5" customHeight="1">
      <c r="B72" s="13"/>
      <c r="C72" s="2"/>
      <c r="D72" s="735"/>
      <c r="E72" s="735"/>
      <c r="F72" s="741" t="s">
        <v>203</v>
      </c>
      <c r="G72" s="2"/>
      <c r="H72" s="401"/>
      <c r="I72" s="398"/>
      <c r="J72" s="399"/>
      <c r="K72" s="400"/>
      <c r="L72" s="337">
        <f>IFERROR($E$67*H72*I72/J72*K72,0)</f>
        <v>0</v>
      </c>
      <c r="M72" s="403"/>
      <c r="N72" s="398"/>
      <c r="O72" s="399"/>
      <c r="P72" s="400"/>
      <c r="Q72" s="115">
        <f t="shared" si="0"/>
        <v>0</v>
      </c>
      <c r="R72" s="342"/>
      <c r="S72" s="49"/>
      <c r="T72" s="321"/>
      <c r="V72" s="1200"/>
      <c r="W72" s="1201"/>
      <c r="X72" s="1202"/>
    </row>
    <row r="73" spans="1:24">
      <c r="B73" s="13"/>
      <c r="C73" s="2"/>
      <c r="D73" s="735"/>
      <c r="E73" s="735"/>
      <c r="F73" s="741"/>
      <c r="G73" s="2"/>
      <c r="H73" s="401"/>
      <c r="I73" s="398"/>
      <c r="J73" s="399"/>
      <c r="K73" s="400"/>
      <c r="L73" s="337">
        <f t="shared" ref="L73:L81" si="1">IFERROR($E$67*H73*I73/J73*K73,0)</f>
        <v>0</v>
      </c>
      <c r="M73" s="403"/>
      <c r="N73" s="398"/>
      <c r="O73" s="399"/>
      <c r="P73" s="400"/>
      <c r="Q73" s="115">
        <f t="shared" si="0"/>
        <v>0</v>
      </c>
      <c r="R73" s="342"/>
      <c r="S73" s="49"/>
      <c r="T73" s="321"/>
      <c r="V73" s="1200"/>
      <c r="W73" s="1201"/>
      <c r="X73" s="1202"/>
    </row>
    <row r="74" spans="1:24">
      <c r="B74" s="13"/>
      <c r="C74" s="2"/>
      <c r="D74" s="736"/>
      <c r="E74" s="737"/>
      <c r="F74" s="741"/>
      <c r="G74" s="2"/>
      <c r="H74" s="401"/>
      <c r="I74" s="398"/>
      <c r="J74" s="399"/>
      <c r="K74" s="400"/>
      <c r="L74" s="337">
        <f t="shared" si="1"/>
        <v>0</v>
      </c>
      <c r="M74" s="403"/>
      <c r="N74" s="398"/>
      <c r="O74" s="399"/>
      <c r="P74" s="400"/>
      <c r="Q74" s="115">
        <f t="shared" si="0"/>
        <v>0</v>
      </c>
      <c r="R74" s="342"/>
      <c r="S74" s="49"/>
      <c r="T74" s="321"/>
      <c r="V74" s="1200"/>
      <c r="W74" s="1201"/>
      <c r="X74" s="1202"/>
    </row>
    <row r="75" spans="1:24">
      <c r="B75" s="13"/>
      <c r="C75" s="2"/>
      <c r="D75" s="736"/>
      <c r="E75" s="737"/>
      <c r="F75" s="741"/>
      <c r="G75" s="2"/>
      <c r="H75" s="401"/>
      <c r="I75" s="398"/>
      <c r="J75" s="399"/>
      <c r="K75" s="400"/>
      <c r="L75" s="337">
        <f t="shared" si="1"/>
        <v>0</v>
      </c>
      <c r="M75" s="403"/>
      <c r="N75" s="398"/>
      <c r="O75" s="399"/>
      <c r="P75" s="400"/>
      <c r="Q75" s="115">
        <f t="shared" si="0"/>
        <v>0</v>
      </c>
      <c r="R75" s="342"/>
      <c r="S75" s="49"/>
      <c r="T75" s="321"/>
      <c r="V75" s="1200"/>
      <c r="W75" s="1201"/>
      <c r="X75" s="1202"/>
    </row>
    <row r="76" spans="1:24">
      <c r="B76" s="13"/>
      <c r="C76" s="2"/>
      <c r="D76" s="736"/>
      <c r="E76" s="737"/>
      <c r="F76" s="741"/>
      <c r="G76" s="2"/>
      <c r="H76" s="401"/>
      <c r="I76" s="398"/>
      <c r="J76" s="399"/>
      <c r="K76" s="400"/>
      <c r="L76" s="337">
        <f t="shared" si="1"/>
        <v>0</v>
      </c>
      <c r="M76" s="403"/>
      <c r="N76" s="398"/>
      <c r="O76" s="399"/>
      <c r="P76" s="400"/>
      <c r="Q76" s="115">
        <f t="shared" si="0"/>
        <v>0</v>
      </c>
      <c r="R76" s="342"/>
      <c r="S76" s="49"/>
      <c r="T76" s="321"/>
      <c r="V76" s="1200"/>
      <c r="W76" s="1201"/>
      <c r="X76" s="1202"/>
    </row>
    <row r="77" spans="1:24">
      <c r="B77" s="13"/>
      <c r="C77" s="2"/>
      <c r="D77" s="736"/>
      <c r="E77" s="737"/>
      <c r="F77" s="741"/>
      <c r="G77" s="2"/>
      <c r="H77" s="401"/>
      <c r="I77" s="398"/>
      <c r="J77" s="399"/>
      <c r="K77" s="400"/>
      <c r="L77" s="337">
        <f t="shared" si="1"/>
        <v>0</v>
      </c>
      <c r="M77" s="403"/>
      <c r="N77" s="398"/>
      <c r="O77" s="399"/>
      <c r="P77" s="400"/>
      <c r="Q77" s="115">
        <f t="shared" si="0"/>
        <v>0</v>
      </c>
      <c r="R77" s="342"/>
      <c r="S77" s="49"/>
      <c r="T77" s="321"/>
      <c r="V77" s="1200"/>
      <c r="W77" s="1201"/>
      <c r="X77" s="1202"/>
    </row>
    <row r="78" spans="1:24">
      <c r="B78" s="13"/>
      <c r="C78" s="2"/>
      <c r="D78" s="736"/>
      <c r="E78" s="737"/>
      <c r="F78" s="741"/>
      <c r="G78" s="2"/>
      <c r="H78" s="401"/>
      <c r="I78" s="398"/>
      <c r="J78" s="399"/>
      <c r="K78" s="400"/>
      <c r="L78" s="337">
        <f t="shared" si="1"/>
        <v>0</v>
      </c>
      <c r="M78" s="403"/>
      <c r="N78" s="398"/>
      <c r="O78" s="399"/>
      <c r="P78" s="400"/>
      <c r="Q78" s="115">
        <f t="shared" si="0"/>
        <v>0</v>
      </c>
      <c r="R78" s="342"/>
      <c r="S78" s="49"/>
      <c r="T78" s="321"/>
      <c r="V78" s="1200"/>
      <c r="W78" s="1201"/>
      <c r="X78" s="1202"/>
    </row>
    <row r="79" spans="1:24">
      <c r="B79" s="13"/>
      <c r="C79" s="2"/>
      <c r="D79" s="736"/>
      <c r="E79" s="737"/>
      <c r="F79" s="741"/>
      <c r="G79" s="2"/>
      <c r="H79" s="401"/>
      <c r="I79" s="398"/>
      <c r="J79" s="399"/>
      <c r="K79" s="400"/>
      <c r="L79" s="337">
        <f t="shared" si="1"/>
        <v>0</v>
      </c>
      <c r="M79" s="403"/>
      <c r="N79" s="398"/>
      <c r="O79" s="399"/>
      <c r="P79" s="400"/>
      <c r="Q79" s="115">
        <f t="shared" si="0"/>
        <v>0</v>
      </c>
      <c r="R79" s="342"/>
      <c r="S79" s="49"/>
      <c r="T79" s="321"/>
      <c r="V79" s="1200"/>
      <c r="W79" s="1201"/>
      <c r="X79" s="1202"/>
    </row>
    <row r="80" spans="1:24">
      <c r="B80" s="13"/>
      <c r="C80" s="2"/>
      <c r="D80" s="736"/>
      <c r="E80" s="737"/>
      <c r="F80" s="741"/>
      <c r="G80" s="2"/>
      <c r="H80" s="401"/>
      <c r="I80" s="398"/>
      <c r="J80" s="399"/>
      <c r="K80" s="400"/>
      <c r="L80" s="337">
        <f t="shared" si="1"/>
        <v>0</v>
      </c>
      <c r="M80" s="403"/>
      <c r="N80" s="398"/>
      <c r="O80" s="399"/>
      <c r="P80" s="400"/>
      <c r="Q80" s="115">
        <f t="shared" si="0"/>
        <v>0</v>
      </c>
      <c r="R80" s="342"/>
      <c r="S80" s="49"/>
      <c r="T80" s="321"/>
      <c r="V80" s="1200"/>
      <c r="W80" s="1201"/>
      <c r="X80" s="1202"/>
    </row>
    <row r="81" spans="1:24">
      <c r="B81" s="13"/>
      <c r="C81" s="2"/>
      <c r="D81" s="738"/>
      <c r="E81" s="739"/>
      <c r="F81" s="742"/>
      <c r="G81" s="2"/>
      <c r="H81" s="401"/>
      <c r="I81" s="398"/>
      <c r="J81" s="399"/>
      <c r="K81" s="400"/>
      <c r="L81" s="337">
        <f t="shared" si="1"/>
        <v>0</v>
      </c>
      <c r="M81" s="403"/>
      <c r="N81" s="398"/>
      <c r="O81" s="399"/>
      <c r="P81" s="400"/>
      <c r="Q81" s="115">
        <f t="shared" si="0"/>
        <v>0</v>
      </c>
      <c r="R81" s="342"/>
      <c r="S81" s="49"/>
      <c r="T81" s="321"/>
      <c r="V81" s="1200"/>
      <c r="W81" s="1201"/>
      <c r="X81" s="1202"/>
    </row>
    <row r="82" spans="1:24">
      <c r="B82" s="13"/>
      <c r="C82" s="2"/>
      <c r="D82" s="2"/>
      <c r="E82" s="2"/>
      <c r="F82" s="2"/>
      <c r="G82" s="2"/>
      <c r="H82" s="49"/>
      <c r="I82" s="2"/>
      <c r="J82" s="49"/>
      <c r="L82" s="49"/>
      <c r="M82" s="335"/>
      <c r="N82" s="49"/>
      <c r="O82" s="49"/>
      <c r="P82" s="49"/>
      <c r="Q82" s="49"/>
      <c r="R82" s="49"/>
      <c r="S82" s="208" t="s">
        <v>99</v>
      </c>
      <c r="T82" s="321"/>
      <c r="V82" s="1231"/>
      <c r="W82" s="1232"/>
      <c r="X82" s="1174"/>
    </row>
    <row r="83" spans="1:24" ht="12" customHeight="1">
      <c r="B83" s="13"/>
      <c r="C83" s="2"/>
      <c r="D83" s="236" t="s">
        <v>182</v>
      </c>
      <c r="E83" s="2"/>
      <c r="F83" s="2"/>
      <c r="G83" s="2"/>
      <c r="H83" s="49"/>
      <c r="I83" s="2"/>
      <c r="K83" s="116" t="s">
        <v>196</v>
      </c>
      <c r="L83" s="412"/>
      <c r="M83" s="336"/>
      <c r="N83" s="1"/>
      <c r="O83" s="1"/>
      <c r="P83" s="116" t="s">
        <v>196</v>
      </c>
      <c r="Q83" s="413"/>
      <c r="R83" s="343"/>
      <c r="S83" s="208" t="s">
        <v>98</v>
      </c>
      <c r="T83" s="321"/>
      <c r="V83" s="1231"/>
      <c r="W83" s="1232"/>
      <c r="X83" s="1174"/>
    </row>
    <row r="84" spans="1:24" ht="12" customHeight="1">
      <c r="B84" s="13"/>
      <c r="C84" s="2"/>
      <c r="D84" s="236" t="s">
        <v>183</v>
      </c>
      <c r="E84" s="408"/>
      <c r="F84" s="2"/>
      <c r="G84" s="2"/>
      <c r="H84" s="49"/>
      <c r="I84" s="2"/>
      <c r="J84" s="49"/>
      <c r="K84" s="435" t="s">
        <v>26</v>
      </c>
      <c r="L84" s="334">
        <f>IF(L83=0,SUM(L70:L81),L83)</f>
        <v>0</v>
      </c>
      <c r="M84" s="336"/>
      <c r="N84" s="1"/>
      <c r="O84" s="1"/>
      <c r="P84" s="435" t="s">
        <v>26</v>
      </c>
      <c r="Q84" s="118">
        <f>IF(Q83=0,SUM(Q70:Q81),Q83)</f>
        <v>0</v>
      </c>
      <c r="R84" s="344"/>
      <c r="S84" s="118">
        <f>L84+Q84*'HAW-Kennwerte'!$R$30</f>
        <v>0</v>
      </c>
      <c r="T84" s="321"/>
      <c r="V84" s="1200"/>
      <c r="W84" s="1201"/>
      <c r="X84" s="1202"/>
    </row>
    <row r="85" spans="1:24" ht="10.5">
      <c r="B85" s="13"/>
      <c r="C85" s="2"/>
      <c r="D85" s="2"/>
      <c r="E85" s="2"/>
      <c r="F85" s="2"/>
      <c r="G85" s="2"/>
      <c r="H85" s="49"/>
      <c r="I85" s="2"/>
      <c r="J85" s="49"/>
      <c r="K85" s="242"/>
      <c r="L85" s="2"/>
      <c r="M85" s="336"/>
      <c r="N85" s="1"/>
      <c r="O85" s="1"/>
      <c r="P85" s="49"/>
      <c r="Q85" s="242"/>
      <c r="R85" s="242"/>
      <c r="S85" s="242"/>
      <c r="T85" s="321"/>
      <c r="V85" s="1231"/>
      <c r="W85" s="1232"/>
      <c r="X85" s="1174"/>
    </row>
    <row r="86" spans="1:24" ht="12" customHeight="1">
      <c r="B86" s="13"/>
      <c r="C86" s="2"/>
      <c r="D86" s="716" t="s">
        <v>194</v>
      </c>
      <c r="E86" s="745" t="s">
        <v>195</v>
      </c>
      <c r="F86" s="2"/>
      <c r="G86" s="2"/>
      <c r="I86" s="206"/>
      <c r="J86" s="208"/>
      <c r="K86" s="242"/>
      <c r="L86" s="204"/>
      <c r="M86" s="204"/>
      <c r="N86" s="203"/>
      <c r="O86" s="203"/>
      <c r="P86" s="791"/>
      <c r="Q86" s="202"/>
      <c r="R86" s="607"/>
      <c r="S86" s="607"/>
      <c r="T86" s="321"/>
      <c r="V86" s="1231"/>
      <c r="W86" s="1232"/>
      <c r="X86" s="1174"/>
    </row>
    <row r="87" spans="1:24" ht="12" customHeight="1">
      <c r="B87" s="13"/>
      <c r="C87" s="2"/>
      <c r="D87" s="2"/>
      <c r="E87" s="2"/>
      <c r="F87" s="2"/>
      <c r="G87" s="2"/>
      <c r="H87" s="49"/>
      <c r="I87" s="206"/>
      <c r="J87" s="202"/>
      <c r="K87" s="206">
        <f>IF($Q$87&gt;2023,$Q$87-6,"")</f>
        <v>2019</v>
      </c>
      <c r="L87" s="206">
        <f>IF($Q$87&gt;2023,$Q$87-5,"")</f>
        <v>2020</v>
      </c>
      <c r="M87" s="206">
        <f>IF($Q$87&gt;2023,$Q$87-4,"")</f>
        <v>2021</v>
      </c>
      <c r="N87" s="206">
        <f>IF($Q$87&gt;2023,$Q$87-3,"")</f>
        <v>2022</v>
      </c>
      <c r="O87" s="206">
        <f>IF($Q$87&gt;2023,$Q$87-2,"")</f>
        <v>2023</v>
      </c>
      <c r="P87" s="206">
        <f>IF($Q$87&gt;2023,$Q$87-1,"")</f>
        <v>2024</v>
      </c>
      <c r="Q87" s="717">
        <v>2025</v>
      </c>
      <c r="R87" s="50"/>
      <c r="S87" s="202"/>
      <c r="T87" s="321"/>
      <c r="V87" s="1231"/>
      <c r="W87" s="1232"/>
      <c r="X87" s="1174"/>
    </row>
    <row r="88" spans="1:24" ht="12" customHeight="1">
      <c r="B88" s="13"/>
      <c r="C88" s="2"/>
      <c r="D88" s="2"/>
      <c r="E88" s="2"/>
      <c r="F88" s="2"/>
      <c r="G88" s="2"/>
      <c r="H88" s="49"/>
      <c r="I88" s="206"/>
      <c r="J88" s="435" t="s">
        <v>245</v>
      </c>
      <c r="K88" s="816"/>
      <c r="L88" s="816"/>
      <c r="M88" s="816"/>
      <c r="N88" s="816"/>
      <c r="O88" s="816"/>
      <c r="P88" s="816"/>
      <c r="Q88" s="816"/>
      <c r="R88" s="50"/>
      <c r="S88" s="744">
        <f>IF(S89&gt;0,IF(S89&gt;1,0,S89),IFERROR(IF((K88*3+L88*4+M88*5+N88*6+O88*7+P88*8+Q88*9)/42&gt;1,1,(K88*3+L88*4+M88*5+N88*6+O88*7+P88*8+Q88*9)/42),""))</f>
        <v>0</v>
      </c>
      <c r="T88" s="321"/>
      <c r="V88" s="1233"/>
      <c r="W88" s="1234"/>
      <c r="X88" s="1235"/>
    </row>
    <row r="89" spans="1:24" ht="12" customHeight="1">
      <c r="B89" s="13"/>
      <c r="C89" s="2"/>
      <c r="D89" s="2"/>
      <c r="E89" s="2"/>
      <c r="F89" s="2"/>
      <c r="G89" s="2"/>
      <c r="H89" s="49"/>
      <c r="I89" s="206"/>
      <c r="J89" s="208"/>
      <c r="K89" s="743" t="s">
        <v>246</v>
      </c>
      <c r="L89" s="203"/>
      <c r="M89" s="203"/>
      <c r="N89" s="203"/>
      <c r="O89" s="203"/>
      <c r="P89" s="607"/>
      <c r="Q89" s="202"/>
      <c r="R89" s="50"/>
      <c r="S89" s="1187"/>
      <c r="T89" s="321"/>
    </row>
    <row r="90" spans="1:24">
      <c r="B90" s="45"/>
      <c r="C90" s="46"/>
      <c r="D90" s="46"/>
      <c r="E90" s="46"/>
      <c r="F90" s="46"/>
      <c r="G90" s="46"/>
      <c r="H90" s="46"/>
      <c r="I90" s="46"/>
      <c r="J90" s="119"/>
      <c r="K90" s="46"/>
      <c r="L90" s="119"/>
      <c r="M90" s="46"/>
      <c r="N90" s="119"/>
      <c r="O90" s="230"/>
      <c r="P90" s="119"/>
      <c r="Q90" s="119"/>
      <c r="R90" s="119"/>
      <c r="S90" s="119"/>
      <c r="T90" s="322"/>
    </row>
    <row r="91" spans="1:24">
      <c r="B91" s="12" t="s">
        <v>100</v>
      </c>
      <c r="H91" s="2"/>
      <c r="I91" s="2"/>
      <c r="J91" s="49"/>
      <c r="K91" s="2"/>
      <c r="L91" s="49"/>
      <c r="M91" s="2"/>
      <c r="N91" s="49"/>
      <c r="O91" s="49"/>
      <c r="P91" s="49"/>
      <c r="Q91" s="49"/>
      <c r="R91" s="49"/>
      <c r="S91" s="49"/>
      <c r="T91" s="121"/>
    </row>
    <row r="92" spans="1:24">
      <c r="A92" s="106"/>
      <c r="B92" s="209" t="s">
        <v>68</v>
      </c>
      <c r="C92" s="106"/>
      <c r="D92" s="106"/>
      <c r="E92" s="106"/>
      <c r="F92" s="106"/>
      <c r="G92" s="106"/>
      <c r="H92" s="106"/>
      <c r="I92" s="106"/>
      <c r="J92" s="107"/>
      <c r="K92" s="106"/>
      <c r="L92" s="107"/>
      <c r="M92" s="106"/>
      <c r="N92" s="107"/>
      <c r="O92" s="107"/>
      <c r="P92" s="107"/>
      <c r="Q92" s="107"/>
      <c r="R92" s="107"/>
      <c r="S92" s="107"/>
      <c r="T92" s="107"/>
    </row>
    <row r="93" spans="1:24">
      <c r="Q93" s="201"/>
      <c r="R93" s="201"/>
      <c r="S93" s="201" t="str">
        <f>HAW!B28</f>
        <v>Kennwertverfahren NRW für HAW; HIS-Institut für Hochschulentwicklung e.V. (24.04.2026)</v>
      </c>
      <c r="T93" s="201"/>
    </row>
    <row r="95" spans="1:24">
      <c r="B95" s="229"/>
      <c r="C95" s="202"/>
    </row>
    <row r="96" spans="1:24" ht="10.5">
      <c r="B96" s="794" t="str">
        <f>IF(B8=0,B7,CONCATENATE(B7,B8))</f>
        <v>Hochschule …</v>
      </c>
      <c r="C96" s="795"/>
      <c r="D96" s="795"/>
      <c r="E96" s="795"/>
      <c r="F96" s="795"/>
      <c r="G96" s="795"/>
      <c r="H96" s="795"/>
      <c r="I96" s="795"/>
      <c r="J96" s="796"/>
      <c r="K96" s="795"/>
      <c r="L96" s="796"/>
      <c r="M96" s="795"/>
      <c r="N96" s="796"/>
      <c r="O96" s="796"/>
      <c r="P96" s="796"/>
      <c r="Q96" s="796"/>
      <c r="R96" s="796"/>
      <c r="S96" s="796"/>
    </row>
    <row r="97" spans="2:19">
      <c r="B97" s="795" t="str">
        <f>B9</f>
        <v>[Fakultät/Fachbereich]</v>
      </c>
      <c r="C97" s="795"/>
      <c r="D97" s="795"/>
      <c r="E97" s="795"/>
      <c r="F97" s="795"/>
      <c r="G97" s="795"/>
      <c r="H97" s="795"/>
      <c r="I97" s="795"/>
      <c r="J97" s="796"/>
      <c r="K97" s="795"/>
      <c r="L97" s="796"/>
      <c r="M97" s="795"/>
      <c r="N97" s="796"/>
      <c r="O97" s="796"/>
      <c r="P97" s="796"/>
      <c r="Q97" s="796"/>
      <c r="R97" s="796"/>
      <c r="S97" s="796"/>
    </row>
    <row r="98" spans="2:19">
      <c r="B98" s="795" t="str">
        <f>B10</f>
        <v>[Department, Institut o.a.]</v>
      </c>
      <c r="C98" s="795"/>
      <c r="D98" s="795"/>
      <c r="E98" s="795"/>
      <c r="F98" s="795"/>
      <c r="G98" s="795"/>
      <c r="H98" s="795"/>
      <c r="I98" s="795"/>
      <c r="J98" s="796"/>
      <c r="K98" s="795"/>
      <c r="L98" s="796"/>
      <c r="M98" s="795"/>
      <c r="N98" s="796"/>
      <c r="O98" s="796"/>
      <c r="P98" s="796"/>
      <c r="Q98" s="796"/>
      <c r="R98" s="796"/>
      <c r="S98" s="796"/>
    </row>
    <row r="99" spans="2:19">
      <c r="B99" s="795" t="str">
        <f>CONCATENATE(B12,": ",B13)</f>
        <v>Lehr- und Forschungsbereich: Gesundheits- und Pflegewissenschaften</v>
      </c>
      <c r="C99" s="795"/>
      <c r="D99" s="795"/>
      <c r="E99" s="795"/>
      <c r="F99" s="795"/>
      <c r="G99" s="795"/>
      <c r="H99" s="795"/>
      <c r="I99" s="795"/>
      <c r="J99" s="796"/>
      <c r="K99" s="795"/>
      <c r="L99" s="796"/>
      <c r="M99" s="795"/>
      <c r="N99" s="796"/>
      <c r="O99" s="796"/>
      <c r="P99" s="796"/>
      <c r="Q99" s="796"/>
      <c r="R99" s="796"/>
      <c r="S99" s="796"/>
    </row>
    <row r="100" spans="2:19">
      <c r="B100" s="202"/>
      <c r="C100" s="202"/>
      <c r="D100" s="202"/>
      <c r="E100" s="202"/>
      <c r="F100" s="202"/>
      <c r="G100" s="202"/>
      <c r="H100" s="202"/>
      <c r="I100" s="202"/>
      <c r="J100" s="607"/>
      <c r="K100" s="202"/>
      <c r="L100" s="607"/>
      <c r="M100" s="202"/>
      <c r="N100" s="607"/>
      <c r="O100" s="607"/>
      <c r="P100" s="607"/>
      <c r="Q100" s="607"/>
      <c r="R100" s="607"/>
      <c r="S100" s="607"/>
    </row>
    <row r="101" spans="2:19">
      <c r="B101" s="110" t="s">
        <v>259</v>
      </c>
      <c r="C101" s="206"/>
      <c r="D101" s="206"/>
      <c r="E101" s="206"/>
      <c r="F101" s="206"/>
      <c r="G101" s="206"/>
      <c r="H101" s="206"/>
      <c r="I101" s="206"/>
      <c r="J101" s="208"/>
      <c r="K101" s="206"/>
      <c r="L101" s="208"/>
      <c r="M101" s="206"/>
      <c r="N101" s="208"/>
      <c r="O101" s="208"/>
      <c r="P101" s="208"/>
      <c r="Q101" s="208"/>
      <c r="R101" s="208"/>
      <c r="S101" s="208"/>
    </row>
    <row r="102" spans="2:19">
      <c r="B102" s="909"/>
      <c r="C102" s="910"/>
      <c r="D102" s="910"/>
      <c r="E102" s="910"/>
      <c r="F102" s="910"/>
      <c r="G102" s="910"/>
      <c r="H102" s="910"/>
      <c r="I102" s="910"/>
      <c r="J102" s="544"/>
      <c r="K102" s="910"/>
      <c r="L102" s="544"/>
      <c r="M102" s="910"/>
      <c r="N102" s="544"/>
      <c r="O102" s="544"/>
      <c r="P102" s="544"/>
      <c r="Q102" s="544"/>
      <c r="R102" s="544"/>
      <c r="S102" s="1173"/>
    </row>
    <row r="103" spans="2:19" ht="10.5">
      <c r="B103" s="210"/>
      <c r="C103" s="206"/>
      <c r="D103" s="206"/>
      <c r="E103" s="206"/>
      <c r="F103" s="208"/>
      <c r="G103" s="208"/>
      <c r="H103" s="208"/>
      <c r="I103" s="208"/>
      <c r="J103" s="208"/>
      <c r="K103" s="206"/>
      <c r="L103" s="208"/>
      <c r="M103" s="206"/>
      <c r="N103" s="1166" t="s">
        <v>262</v>
      </c>
      <c r="O103" s="829"/>
      <c r="P103" s="830">
        <f>SUM(O110:Q129)</f>
        <v>0</v>
      </c>
      <c r="Q103" s="828"/>
      <c r="R103" s="208"/>
      <c r="S103" s="1174"/>
    </row>
    <row r="104" spans="2:19">
      <c r="B104" s="210"/>
      <c r="C104" s="206"/>
      <c r="D104" s="206"/>
      <c r="E104" s="206"/>
      <c r="F104" s="206"/>
      <c r="G104" s="207"/>
      <c r="H104" s="798"/>
      <c r="I104" s="206"/>
      <c r="J104" s="208"/>
      <c r="K104" s="206"/>
      <c r="L104" s="208"/>
      <c r="M104" s="206"/>
      <c r="N104" s="207" t="s">
        <v>60</v>
      </c>
      <c r="O104" s="799" t="str">
        <f>IF($P$103=0,"",SUMIF($N$110:$N$129,$N104,O$110:O$129)/$P$103)</f>
        <v/>
      </c>
      <c r="P104" s="799" t="str">
        <f t="shared" ref="P104:Q105" si="2">IF($P$103=0,"",SUMIF($N$110:$N$129,$N104,P$110:P$129)/$P$103)</f>
        <v/>
      </c>
      <c r="Q104" s="799" t="str">
        <f t="shared" si="2"/>
        <v/>
      </c>
      <c r="R104" s="208"/>
      <c r="S104" s="1174"/>
    </row>
    <row r="105" spans="2:19">
      <c r="B105" s="210"/>
      <c r="C105" s="206"/>
      <c r="D105" s="206"/>
      <c r="E105" s="206"/>
      <c r="F105" s="206"/>
      <c r="G105" s="206"/>
      <c r="H105" s="206"/>
      <c r="I105" s="206"/>
      <c r="J105" s="208"/>
      <c r="K105" s="206"/>
      <c r="L105" s="208"/>
      <c r="M105" s="206"/>
      <c r="N105" s="207" t="s">
        <v>61</v>
      </c>
      <c r="O105" s="799" t="str">
        <f>IF($P$103=0,"",SUMIF($N$110:$N$129,$N105,O$110:O$129)/$P$103)</f>
        <v/>
      </c>
      <c r="P105" s="799" t="str">
        <f t="shared" si="2"/>
        <v/>
      </c>
      <c r="Q105" s="799" t="str">
        <f t="shared" si="2"/>
        <v/>
      </c>
      <c r="R105" s="208"/>
      <c r="S105" s="1174"/>
    </row>
    <row r="106" spans="2:19" ht="3" customHeight="1">
      <c r="B106" s="210"/>
      <c r="C106" s="206"/>
      <c r="D106" s="206"/>
      <c r="E106" s="206"/>
      <c r="F106" s="206"/>
      <c r="G106" s="206"/>
      <c r="H106" s="206"/>
      <c r="I106" s="206"/>
      <c r="J106" s="208"/>
      <c r="K106" s="206"/>
      <c r="L106" s="208"/>
      <c r="M106" s="206"/>
      <c r="N106" s="207"/>
      <c r="O106" s="1193"/>
      <c r="P106" s="1193"/>
      <c r="Q106" s="1193"/>
      <c r="R106" s="208"/>
      <c r="S106" s="1174"/>
    </row>
    <row r="107" spans="2:19" ht="10.5">
      <c r="B107" s="210"/>
      <c r="C107" s="206"/>
      <c r="D107" s="206"/>
      <c r="E107" s="206"/>
      <c r="F107" s="206"/>
      <c r="G107" s="206"/>
      <c r="H107" s="206"/>
      <c r="I107" s="206"/>
      <c r="J107" s="208"/>
      <c r="K107" s="206"/>
      <c r="L107" s="208"/>
      <c r="M107" s="206"/>
      <c r="N107" s="1166" t="s">
        <v>859</v>
      </c>
      <c r="O107" s="1194">
        <f>IFERROR(O104/SUM($O104:$Q104),0)</f>
        <v>0</v>
      </c>
      <c r="P107" s="1194">
        <f t="shared" ref="P107:Q107" si="3">IFERROR(P104/SUM($O104:$Q104),0)</f>
        <v>0</v>
      </c>
      <c r="Q107" s="1194">
        <f t="shared" si="3"/>
        <v>0</v>
      </c>
      <c r="R107" s="208"/>
      <c r="S107" s="1174"/>
    </row>
    <row r="108" spans="2:19">
      <c r="B108" s="210"/>
      <c r="C108" s="206"/>
      <c r="D108" s="206"/>
      <c r="E108" s="206"/>
      <c r="F108" s="206"/>
      <c r="G108" s="206"/>
      <c r="H108" s="206"/>
      <c r="I108" s="206"/>
      <c r="J108" s="208"/>
      <c r="K108" s="206"/>
      <c r="L108" s="208"/>
      <c r="M108" s="206"/>
      <c r="N108" s="208"/>
      <c r="O108" s="208"/>
      <c r="P108" s="208"/>
      <c r="Q108" s="208"/>
      <c r="R108" s="208"/>
      <c r="S108" s="1174"/>
    </row>
    <row r="109" spans="2:19" ht="10.5">
      <c r="B109" s="1175" t="s">
        <v>250</v>
      </c>
      <c r="C109" s="800" t="s">
        <v>260</v>
      </c>
      <c r="D109" s="238"/>
      <c r="E109" s="238"/>
      <c r="F109" s="238"/>
      <c r="G109" s="238"/>
      <c r="H109" s="239"/>
      <c r="I109" s="238"/>
      <c r="J109" s="238"/>
      <c r="K109" s="239"/>
      <c r="L109" s="238"/>
      <c r="M109" s="239"/>
      <c r="N109" s="825" t="s">
        <v>261</v>
      </c>
      <c r="O109" s="801" t="s">
        <v>88</v>
      </c>
      <c r="P109" s="239" t="s">
        <v>84</v>
      </c>
      <c r="Q109" s="239" t="s">
        <v>85</v>
      </c>
      <c r="R109" s="208"/>
      <c r="S109" s="1174"/>
    </row>
    <row r="110" spans="2:19">
      <c r="B110" s="210" t="str">
        <f>IF(COUNTA(C110)=1,1,"")</f>
        <v/>
      </c>
      <c r="C110" s="802"/>
      <c r="D110" s="803"/>
      <c r="E110" s="803"/>
      <c r="F110" s="803"/>
      <c r="G110" s="803"/>
      <c r="H110" s="905"/>
      <c r="I110" s="803"/>
      <c r="J110" s="803"/>
      <c r="K110" s="803"/>
      <c r="L110" s="803"/>
      <c r="M110" s="803"/>
      <c r="N110" s="826"/>
      <c r="O110" s="823"/>
      <c r="P110" s="802"/>
      <c r="Q110" s="802"/>
      <c r="R110" s="208"/>
      <c r="S110" s="1174"/>
    </row>
    <row r="111" spans="2:19">
      <c r="B111" s="210" t="str">
        <f>IF(COUNTA(C111)=1,MAX(B$110:B110)+1,"")</f>
        <v/>
      </c>
      <c r="C111" s="808"/>
      <c r="D111" s="809"/>
      <c r="E111" s="809"/>
      <c r="F111" s="809"/>
      <c r="G111" s="809"/>
      <c r="H111" s="906"/>
      <c r="I111" s="809"/>
      <c r="J111" s="809"/>
      <c r="K111" s="809"/>
      <c r="L111" s="809"/>
      <c r="M111" s="809"/>
      <c r="N111" s="827"/>
      <c r="O111" s="824"/>
      <c r="P111" s="808"/>
      <c r="Q111" s="808"/>
      <c r="R111" s="208"/>
      <c r="S111" s="1174"/>
    </row>
    <row r="112" spans="2:19">
      <c r="B112" s="210" t="str">
        <f>IF(COUNTA(C112)=1,MAX(B$110:B111)+1,"")</f>
        <v/>
      </c>
      <c r="C112" s="808"/>
      <c r="D112" s="809"/>
      <c r="E112" s="809"/>
      <c r="F112" s="809"/>
      <c r="G112" s="809"/>
      <c r="H112" s="906"/>
      <c r="I112" s="809"/>
      <c r="J112" s="809"/>
      <c r="K112" s="809"/>
      <c r="L112" s="809"/>
      <c r="M112" s="809"/>
      <c r="N112" s="827"/>
      <c r="O112" s="824"/>
      <c r="P112" s="808"/>
      <c r="Q112" s="808"/>
      <c r="R112" s="208"/>
      <c r="S112" s="1174"/>
    </row>
    <row r="113" spans="2:19">
      <c r="B113" s="210" t="str">
        <f>IF(COUNTA(C113)=1,MAX(B$110:B112)+1,"")</f>
        <v/>
      </c>
      <c r="C113" s="808"/>
      <c r="D113" s="809"/>
      <c r="E113" s="809"/>
      <c r="F113" s="809"/>
      <c r="G113" s="809"/>
      <c r="H113" s="906"/>
      <c r="I113" s="809"/>
      <c r="J113" s="809"/>
      <c r="K113" s="809"/>
      <c r="L113" s="809"/>
      <c r="M113" s="809"/>
      <c r="N113" s="827"/>
      <c r="O113" s="824"/>
      <c r="P113" s="808"/>
      <c r="Q113" s="808"/>
      <c r="R113" s="208"/>
      <c r="S113" s="1174"/>
    </row>
    <row r="114" spans="2:19">
      <c r="B114" s="210" t="str">
        <f>IF(COUNTA(C114)=1,MAX(B$110:B113)+1,"")</f>
        <v/>
      </c>
      <c r="C114" s="808"/>
      <c r="D114" s="809"/>
      <c r="E114" s="809"/>
      <c r="F114" s="809"/>
      <c r="G114" s="809"/>
      <c r="H114" s="906"/>
      <c r="I114" s="809"/>
      <c r="J114" s="809"/>
      <c r="K114" s="809"/>
      <c r="L114" s="809"/>
      <c r="M114" s="809"/>
      <c r="N114" s="827"/>
      <c r="O114" s="824"/>
      <c r="P114" s="808"/>
      <c r="Q114" s="808"/>
      <c r="R114" s="208"/>
      <c r="S114" s="1174"/>
    </row>
    <row r="115" spans="2:19">
      <c r="B115" s="210" t="str">
        <f>IF(COUNTA(C115)=1,MAX(B$110:B114)+1,"")</f>
        <v/>
      </c>
      <c r="C115" s="808"/>
      <c r="D115" s="809"/>
      <c r="E115" s="809"/>
      <c r="F115" s="809"/>
      <c r="G115" s="809"/>
      <c r="H115" s="906"/>
      <c r="I115" s="809"/>
      <c r="J115" s="809"/>
      <c r="K115" s="809"/>
      <c r="L115" s="809"/>
      <c r="M115" s="809"/>
      <c r="N115" s="827"/>
      <c r="O115" s="824"/>
      <c r="P115" s="808"/>
      <c r="Q115" s="808"/>
      <c r="R115" s="208"/>
      <c r="S115" s="1174"/>
    </row>
    <row r="116" spans="2:19">
      <c r="B116" s="210" t="str">
        <f>IF(COUNTA(C116)=1,MAX(B$110:B115)+1,"")</f>
        <v/>
      </c>
      <c r="C116" s="808"/>
      <c r="D116" s="809"/>
      <c r="E116" s="809"/>
      <c r="F116" s="809"/>
      <c r="G116" s="809"/>
      <c r="H116" s="906"/>
      <c r="I116" s="809"/>
      <c r="J116" s="809"/>
      <c r="K116" s="809"/>
      <c r="L116" s="809"/>
      <c r="M116" s="809"/>
      <c r="N116" s="827"/>
      <c r="O116" s="824"/>
      <c r="P116" s="808"/>
      <c r="Q116" s="808"/>
      <c r="R116" s="208"/>
      <c r="S116" s="1174"/>
    </row>
    <row r="117" spans="2:19">
      <c r="B117" s="210" t="str">
        <f>IF(COUNTA(C117)=1,MAX(B$110:B116)+1,"")</f>
        <v/>
      </c>
      <c r="C117" s="808"/>
      <c r="D117" s="809"/>
      <c r="E117" s="809"/>
      <c r="F117" s="809"/>
      <c r="G117" s="809"/>
      <c r="H117" s="906"/>
      <c r="I117" s="809"/>
      <c r="J117" s="809"/>
      <c r="K117" s="809"/>
      <c r="L117" s="809"/>
      <c r="M117" s="809"/>
      <c r="N117" s="827"/>
      <c r="O117" s="824"/>
      <c r="P117" s="808"/>
      <c r="Q117" s="808"/>
      <c r="R117" s="208"/>
      <c r="S117" s="1174"/>
    </row>
    <row r="118" spans="2:19">
      <c r="B118" s="210" t="str">
        <f>IF(COUNTA(C118)=1,MAX(B$110:B117)+1,"")</f>
        <v/>
      </c>
      <c r="C118" s="808"/>
      <c r="D118" s="809"/>
      <c r="E118" s="809"/>
      <c r="F118" s="809"/>
      <c r="G118" s="809"/>
      <c r="H118" s="906"/>
      <c r="I118" s="809"/>
      <c r="J118" s="809"/>
      <c r="K118" s="809"/>
      <c r="L118" s="809"/>
      <c r="M118" s="809"/>
      <c r="N118" s="827"/>
      <c r="O118" s="824"/>
      <c r="P118" s="808"/>
      <c r="Q118" s="808"/>
      <c r="R118" s="208"/>
      <c r="S118" s="1174"/>
    </row>
    <row r="119" spans="2:19">
      <c r="B119" s="210" t="str">
        <f>IF(COUNTA(C119)=1,MAX(B$110:B118)+1,"")</f>
        <v/>
      </c>
      <c r="C119" s="808"/>
      <c r="D119" s="809"/>
      <c r="E119" s="809"/>
      <c r="F119" s="809"/>
      <c r="G119" s="809"/>
      <c r="H119" s="906"/>
      <c r="I119" s="809"/>
      <c r="J119" s="809"/>
      <c r="K119" s="809"/>
      <c r="L119" s="809"/>
      <c r="M119" s="809"/>
      <c r="N119" s="827"/>
      <c r="O119" s="824"/>
      <c r="P119" s="808"/>
      <c r="Q119" s="808"/>
      <c r="R119" s="208"/>
      <c r="S119" s="1174"/>
    </row>
    <row r="120" spans="2:19">
      <c r="B120" s="210" t="str">
        <f>IF(COUNTA(C120)=1,MAX(B$110:B119)+1,"")</f>
        <v/>
      </c>
      <c r="C120" s="808"/>
      <c r="D120" s="809"/>
      <c r="E120" s="809"/>
      <c r="F120" s="809"/>
      <c r="G120" s="809"/>
      <c r="H120" s="906"/>
      <c r="I120" s="809"/>
      <c r="J120" s="809"/>
      <c r="K120" s="809"/>
      <c r="L120" s="809"/>
      <c r="M120" s="809"/>
      <c r="N120" s="827"/>
      <c r="O120" s="824"/>
      <c r="P120" s="808"/>
      <c r="Q120" s="808"/>
      <c r="R120" s="208"/>
      <c r="S120" s="1174"/>
    </row>
    <row r="121" spans="2:19">
      <c r="B121" s="210" t="str">
        <f>IF(COUNTA(C121)=1,MAX(B$110:B120)+1,"")</f>
        <v/>
      </c>
      <c r="C121" s="808"/>
      <c r="D121" s="809"/>
      <c r="E121" s="809"/>
      <c r="F121" s="809"/>
      <c r="G121" s="809"/>
      <c r="H121" s="906"/>
      <c r="I121" s="809"/>
      <c r="J121" s="809"/>
      <c r="K121" s="809"/>
      <c r="L121" s="809"/>
      <c r="M121" s="809"/>
      <c r="N121" s="827"/>
      <c r="O121" s="824"/>
      <c r="P121" s="808"/>
      <c r="Q121" s="808"/>
      <c r="R121" s="208"/>
      <c r="S121" s="1174"/>
    </row>
    <row r="122" spans="2:19">
      <c r="B122" s="210" t="str">
        <f>IF(COUNTA(C122)=1,MAX(B$110:B121)+1,"")</f>
        <v/>
      </c>
      <c r="C122" s="808"/>
      <c r="D122" s="809"/>
      <c r="E122" s="809"/>
      <c r="F122" s="809"/>
      <c r="G122" s="809"/>
      <c r="H122" s="906"/>
      <c r="I122" s="809"/>
      <c r="J122" s="809"/>
      <c r="K122" s="809"/>
      <c r="L122" s="809"/>
      <c r="M122" s="809"/>
      <c r="N122" s="827"/>
      <c r="O122" s="824"/>
      <c r="P122" s="808"/>
      <c r="Q122" s="808"/>
      <c r="R122" s="208"/>
      <c r="S122" s="1174"/>
    </row>
    <row r="123" spans="2:19">
      <c r="B123" s="210" t="str">
        <f>IF(COUNTA(C123)=1,MAX(B$110:B122)+1,"")</f>
        <v/>
      </c>
      <c r="C123" s="808"/>
      <c r="D123" s="809"/>
      <c r="E123" s="809"/>
      <c r="F123" s="809"/>
      <c r="G123" s="809"/>
      <c r="H123" s="906"/>
      <c r="I123" s="809"/>
      <c r="J123" s="809"/>
      <c r="K123" s="809"/>
      <c r="L123" s="809"/>
      <c r="M123" s="809"/>
      <c r="N123" s="827"/>
      <c r="O123" s="824"/>
      <c r="P123" s="808"/>
      <c r="Q123" s="808"/>
      <c r="R123" s="208"/>
      <c r="S123" s="1174"/>
    </row>
    <row r="124" spans="2:19">
      <c r="B124" s="210" t="str">
        <f>IF(COUNTA(C124)=1,MAX(B$110:B123)+1,"")</f>
        <v/>
      </c>
      <c r="C124" s="808"/>
      <c r="D124" s="809"/>
      <c r="E124" s="809"/>
      <c r="F124" s="809"/>
      <c r="G124" s="809"/>
      <c r="H124" s="906"/>
      <c r="I124" s="809"/>
      <c r="J124" s="809"/>
      <c r="K124" s="809"/>
      <c r="L124" s="809"/>
      <c r="M124" s="809"/>
      <c r="N124" s="827"/>
      <c r="O124" s="824"/>
      <c r="P124" s="808"/>
      <c r="Q124" s="808"/>
      <c r="R124" s="208"/>
      <c r="S124" s="1174"/>
    </row>
    <row r="125" spans="2:19">
      <c r="B125" s="210" t="str">
        <f>IF(COUNTA(C125)=1,MAX(B$110:B124)+1,"")</f>
        <v/>
      </c>
      <c r="C125" s="808"/>
      <c r="D125" s="809"/>
      <c r="E125" s="809"/>
      <c r="F125" s="809"/>
      <c r="G125" s="809"/>
      <c r="H125" s="906"/>
      <c r="I125" s="809"/>
      <c r="J125" s="809"/>
      <c r="K125" s="809"/>
      <c r="L125" s="809"/>
      <c r="M125" s="809"/>
      <c r="N125" s="827"/>
      <c r="O125" s="824"/>
      <c r="P125" s="808"/>
      <c r="Q125" s="808"/>
      <c r="R125" s="208"/>
      <c r="S125" s="1174"/>
    </row>
    <row r="126" spans="2:19">
      <c r="B126" s="210" t="str">
        <f>IF(COUNTA(C126)=1,MAX(B$110:B125)+1,"")</f>
        <v/>
      </c>
      <c r="C126" s="808"/>
      <c r="D126" s="809"/>
      <c r="E126" s="809"/>
      <c r="F126" s="809"/>
      <c r="G126" s="809"/>
      <c r="H126" s="906"/>
      <c r="I126" s="809"/>
      <c r="J126" s="809"/>
      <c r="K126" s="809"/>
      <c r="L126" s="809"/>
      <c r="M126" s="809"/>
      <c r="N126" s="827"/>
      <c r="O126" s="824"/>
      <c r="P126" s="808"/>
      <c r="Q126" s="808"/>
      <c r="R126" s="208"/>
      <c r="S126" s="1174"/>
    </row>
    <row r="127" spans="2:19">
      <c r="B127" s="210" t="str">
        <f>IF(COUNTA(C127)=1,MAX(B$110:B126)+1,"")</f>
        <v/>
      </c>
      <c r="C127" s="808"/>
      <c r="D127" s="809"/>
      <c r="E127" s="809"/>
      <c r="F127" s="809"/>
      <c r="G127" s="809"/>
      <c r="H127" s="906"/>
      <c r="I127" s="809"/>
      <c r="J127" s="809"/>
      <c r="K127" s="809"/>
      <c r="L127" s="809"/>
      <c r="M127" s="809"/>
      <c r="N127" s="827"/>
      <c r="O127" s="824"/>
      <c r="P127" s="808"/>
      <c r="Q127" s="808"/>
      <c r="R127" s="208"/>
      <c r="S127" s="1174"/>
    </row>
    <row r="128" spans="2:19">
      <c r="B128" s="210" t="str">
        <f>IF(COUNTA(C128)=1,MAX(B$110:B127)+1,"")</f>
        <v/>
      </c>
      <c r="C128" s="808"/>
      <c r="D128" s="809"/>
      <c r="E128" s="809"/>
      <c r="F128" s="809"/>
      <c r="G128" s="809"/>
      <c r="H128" s="906"/>
      <c r="I128" s="809"/>
      <c r="J128" s="809"/>
      <c r="K128" s="809"/>
      <c r="L128" s="809"/>
      <c r="M128" s="809"/>
      <c r="N128" s="827"/>
      <c r="O128" s="824"/>
      <c r="P128" s="808"/>
      <c r="Q128" s="808"/>
      <c r="R128" s="208"/>
      <c r="S128" s="1174"/>
    </row>
    <row r="129" spans="2:19">
      <c r="B129" s="210" t="str">
        <f>IF(COUNTA(C129)=1,MAX(B$110:B128)+1,"")</f>
        <v/>
      </c>
      <c r="C129" s="808"/>
      <c r="D129" s="809"/>
      <c r="E129" s="809"/>
      <c r="F129" s="809"/>
      <c r="G129" s="809"/>
      <c r="H129" s="906"/>
      <c r="I129" s="809"/>
      <c r="J129" s="809"/>
      <c r="K129" s="809"/>
      <c r="L129" s="809"/>
      <c r="M129" s="809"/>
      <c r="N129" s="827"/>
      <c r="O129" s="824"/>
      <c r="P129" s="808"/>
      <c r="Q129" s="808"/>
      <c r="R129" s="208"/>
      <c r="S129" s="1174"/>
    </row>
  </sheetData>
  <sheetProtection algorithmName="SHA-512" hashValue="zq9WIcwq3f9giQuEXWUgYtCHRYf04Lsg0rwpkVg1Bu7oFzLG8WKMNekKN18nxNipkqD2+MOqZOi6+TnPzTn98w==" saltValue="n5DfkJIaj4t0K/RoCka9Mg==" spinCount="100000" sheet="1" selectLockedCells="1"/>
  <mergeCells count="8">
    <mergeCell ref="O1:O2"/>
    <mergeCell ref="P1:P2"/>
    <mergeCell ref="Q1:Q2"/>
    <mergeCell ref="D27:E27"/>
    <mergeCell ref="D28:E28"/>
    <mergeCell ref="L1:L2"/>
    <mergeCell ref="M1:M2"/>
    <mergeCell ref="N1:N2"/>
  </mergeCells>
  <conditionalFormatting sqref="E21">
    <cfRule type="cellIs" dxfId="32" priority="9" stopIfTrue="1" operator="equal">
      <formula>1</formula>
    </cfRule>
  </conditionalFormatting>
  <conditionalFormatting sqref="E86">
    <cfRule type="cellIs" dxfId="31" priority="13" stopIfTrue="1" operator="equal">
      <formula>1</formula>
    </cfRule>
  </conditionalFormatting>
  <conditionalFormatting sqref="N6">
    <cfRule type="cellIs" dxfId="30" priority="8" operator="equal">
      <formula>1</formula>
    </cfRule>
  </conditionalFormatting>
  <conditionalFormatting sqref="N18">
    <cfRule type="cellIs" dxfId="29" priority="7" operator="equal">
      <formula>1</formula>
    </cfRule>
  </conditionalFormatting>
  <conditionalFormatting sqref="N22:N23">
    <cfRule type="cellIs" dxfId="28" priority="25" stopIfTrue="1" operator="equal">
      <formula>0</formula>
    </cfRule>
  </conditionalFormatting>
  <conditionalFormatting sqref="O10">
    <cfRule type="cellIs" dxfId="27" priority="1" operator="equal">
      <formula>1</formula>
    </cfRule>
  </conditionalFormatting>
  <conditionalFormatting sqref="O18 N19:O20">
    <cfRule type="cellIs" dxfId="26" priority="17" stopIfTrue="1" operator="equal">
      <formula>0</formula>
    </cfRule>
  </conditionalFormatting>
  <conditionalFormatting sqref="S65">
    <cfRule type="cellIs" dxfId="25" priority="23" operator="equal">
      <formula>1</formula>
    </cfRule>
    <cfRule type="cellIs" dxfId="24" priority="24" operator="notEqual">
      <formula>1</formula>
    </cfRule>
  </conditionalFormatting>
  <dataValidations count="7">
    <dataValidation type="decimal" errorStyle="information" operator="lessThanOrEqual" allowBlank="1" showInputMessage="1" showErrorMessage="1" error="Bitte nur Werte bis max. 15% verwenden." prompt="Bitte nur Werte bis max. 15% verwenden." sqref="E84" xr:uid="{1CEF00DA-0956-496E-BAD1-22BE78560648}">
      <formula1>0.15</formula1>
    </dataValidation>
    <dataValidation allowBlank="1" showInputMessage="1" promptTitle="Anteil Bachelor-Studienplätze" prompt="Bitte geben Sie hier den Anteil der Studienplätze ein, die für gesundheitswissenschaftliche Studiengänge mit einem sozial-, erziehungs- oder wirtschaftswissenschaftlichen Profil vorgesehen sind." sqref="E23" xr:uid="{844E2CAB-641A-45AB-B181-F8AE435DEF0E}"/>
    <dataValidation allowBlank="1" showInputMessage="1" promptTitle="Anteil Studienplätze" prompt="Bitte geben Sie hier den Anteil der Studienplätze ein, die auf primärqualifizierende Studiengänge im Bereich Pflege/therapeutische Berufe entfallen." sqref="E25" xr:uid="{2A651EAB-FAA1-4735-82C8-264CABFCF489}"/>
    <dataValidation type="list" allowBlank="1" showInputMessage="1" showErrorMessage="1" sqref="Q25:Q29" xr:uid="{35361C6F-B2AE-4E60-9B40-5BFB2EB4A124}">
      <formula1>"Büro, Labor, Allg. Lehren und Lernen, Fachspez. Lehre, Lager, Weitere STB"</formula1>
    </dataValidation>
    <dataValidation type="list" allowBlank="1" sqref="E86 E21" xr:uid="{653FBF0E-F4E6-4AB9-96D3-1CB9010EABDD}">
      <formula1>"ja, nein"</formula1>
    </dataValidation>
    <dataValidation allowBlank="1" showInputMessage="1" showErrorMessage="1" prompt="Für die weitere Berechnung werden nur Werte bis max. 100% übernommen." sqref="S89" xr:uid="{1F3B85CD-047D-4639-8768-F3BBF3AEA3C5}"/>
    <dataValidation type="list" allowBlank="1" showInputMessage="1" showErrorMessage="1" sqref="N110:N129" xr:uid="{9EC73AEB-1612-4950-82FF-541B56A38667}">
      <formula1>"Bachelor,Master"</formula1>
    </dataValidation>
  </dataValidations>
  <pageMargins left="0.59055118110236227" right="0.59055118110236227" top="0.78740157480314965" bottom="0.59055118110236227" header="0.51181102362204722" footer="0.27559055118110237"/>
  <pageSetup paperSize="9" scale="79" orientation="portrait" r:id="rId1"/>
  <headerFooter alignWithMargins="0">
    <oddFooter>&amp;C&amp;8Seite &amp;P von &amp;N</oddFooter>
  </headerFooter>
  <rowBreaks count="1" manualBreakCount="1">
    <brk id="51" max="1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DE050-7C26-497E-B037-D305EA8F6ACF}">
  <sheetPr codeName="Tabelle16">
    <tabColor theme="6" tint="-0.249977111117893"/>
  </sheetPr>
  <dimension ref="A1:X156"/>
  <sheetViews>
    <sheetView showGridLines="0" showZeros="0" zoomScale="115" zoomScaleNormal="115" zoomScaleSheetLayoutView="115" workbookViewId="0">
      <selection activeCell="B9" sqref="B9"/>
    </sheetView>
  </sheetViews>
  <sheetFormatPr baseColWidth="10" defaultColWidth="11.453125" defaultRowHeight="10"/>
  <cols>
    <col min="1" max="1" width="0.54296875" style="1" customWidth="1"/>
    <col min="2" max="2" width="9.54296875" style="1" customWidth="1"/>
    <col min="3" max="3" width="6.54296875" style="1" customWidth="1"/>
    <col min="4" max="4" width="5.54296875" style="1" customWidth="1"/>
    <col min="5" max="5" width="5.453125" style="1" customWidth="1"/>
    <col min="6" max="6" width="1.81640625" style="1" customWidth="1"/>
    <col min="7" max="7" width="1.453125" style="1" customWidth="1"/>
    <col min="8" max="9" width="7.453125" style="1" customWidth="1"/>
    <col min="10" max="10" width="7.453125" style="42" customWidth="1"/>
    <col min="11" max="11" width="7.453125" style="1" customWidth="1"/>
    <col min="12" max="12" width="7.453125" style="42" customWidth="1"/>
    <col min="13" max="13" width="7.453125" style="1" customWidth="1"/>
    <col min="14" max="15" width="7.453125" style="42" customWidth="1"/>
    <col min="16" max="16" width="8.54296875" style="42" customWidth="1"/>
    <col min="17" max="17" width="7.453125" style="42" customWidth="1"/>
    <col min="18" max="18" width="0.81640625" style="42" customWidth="1"/>
    <col min="19" max="19" width="7.453125" style="42" customWidth="1"/>
    <col min="20" max="20" width="1.1796875" style="1" customWidth="1"/>
    <col min="21" max="21" width="7.1796875" style="202" customWidth="1"/>
    <col min="22" max="24" width="7.26953125" style="202" customWidth="1"/>
    <col min="25" max="16384" width="11.453125" style="1"/>
  </cols>
  <sheetData>
    <row r="1" spans="1:24" ht="13" customHeight="1">
      <c r="A1" s="7"/>
      <c r="B1" s="8"/>
      <c r="C1" s="8"/>
      <c r="D1" s="8"/>
      <c r="E1" s="8"/>
      <c r="F1" s="9"/>
      <c r="H1" s="214"/>
      <c r="I1" s="216"/>
      <c r="J1" s="108"/>
      <c r="K1" s="9"/>
      <c r="L1" s="1364" t="s">
        <v>57</v>
      </c>
      <c r="M1" s="1364" t="s">
        <v>108</v>
      </c>
      <c r="N1" s="1364" t="s">
        <v>126</v>
      </c>
      <c r="O1" s="1364" t="s">
        <v>58</v>
      </c>
      <c r="P1" s="1356" t="s">
        <v>11</v>
      </c>
      <c r="Q1" s="1358" t="s">
        <v>113</v>
      </c>
      <c r="R1" s="341"/>
      <c r="S1" s="332"/>
    </row>
    <row r="2" spans="1:24" ht="38.15" customHeight="1">
      <c r="A2" s="13"/>
      <c r="B2" s="2" t="s">
        <v>24</v>
      </c>
      <c r="C2" s="96"/>
      <c r="D2" s="96"/>
      <c r="E2" s="96"/>
      <c r="F2" s="97"/>
      <c r="H2" s="210" t="s">
        <v>111</v>
      </c>
      <c r="I2" s="3"/>
      <c r="J2" s="49"/>
      <c r="K2" s="14"/>
      <c r="L2" s="1365"/>
      <c r="M2" s="1365"/>
      <c r="N2" s="1365"/>
      <c r="O2" s="1365"/>
      <c r="P2" s="1357"/>
      <c r="Q2" s="1359"/>
      <c r="R2" s="341"/>
      <c r="S2" s="332"/>
      <c r="V2" s="12" t="s">
        <v>863</v>
      </c>
    </row>
    <row r="3" spans="1:24" ht="3" customHeight="1">
      <c r="A3" s="98"/>
      <c r="B3" s="99"/>
      <c r="C3" s="99"/>
      <c r="D3" s="99"/>
      <c r="E3" s="99"/>
      <c r="F3" s="100"/>
      <c r="H3" s="215"/>
      <c r="I3" s="217"/>
      <c r="J3" s="218"/>
      <c r="K3" s="100"/>
      <c r="L3" s="4"/>
      <c r="M3" s="4"/>
      <c r="N3" s="4"/>
      <c r="O3" s="4"/>
      <c r="P3" s="5"/>
      <c r="Q3" s="6"/>
      <c r="R3" s="333"/>
      <c r="S3" s="333"/>
    </row>
    <row r="4" spans="1:24">
      <c r="A4" s="2"/>
      <c r="B4" s="2"/>
      <c r="C4" s="2"/>
      <c r="D4" s="2"/>
      <c r="E4" s="2"/>
      <c r="F4" s="2"/>
      <c r="H4" s="3"/>
      <c r="I4" s="3"/>
      <c r="K4" s="10"/>
      <c r="L4" s="11"/>
      <c r="M4" s="3"/>
      <c r="N4" s="11"/>
      <c r="O4" s="11"/>
      <c r="P4" s="11"/>
      <c r="Q4" s="12"/>
      <c r="R4" s="12"/>
      <c r="S4" s="12"/>
    </row>
    <row r="5" spans="1:24" ht="11.25" customHeight="1">
      <c r="A5" s="7"/>
      <c r="B5" s="8"/>
      <c r="C5" s="8"/>
      <c r="D5" s="8"/>
      <c r="E5" s="8"/>
      <c r="F5" s="9"/>
      <c r="H5" s="15" t="s">
        <v>87</v>
      </c>
      <c r="I5" s="3"/>
      <c r="K5" s="10"/>
      <c r="L5" s="11"/>
      <c r="M5" s="3"/>
      <c r="N5" s="11"/>
      <c r="O5" s="11"/>
      <c r="P5" s="11"/>
      <c r="Q5" s="12"/>
      <c r="R5" s="12"/>
      <c r="S5" s="12"/>
      <c r="V5" s="1225"/>
      <c r="W5" s="1226"/>
      <c r="X5" s="1227"/>
    </row>
    <row r="6" spans="1:24" s="19" customFormat="1" ht="11.5" customHeight="1">
      <c r="A6" s="16"/>
      <c r="B6" s="24"/>
      <c r="C6" s="17"/>
      <c r="D6" s="17"/>
      <c r="E6" s="17"/>
      <c r="F6" s="18"/>
      <c r="H6" s="203" t="s">
        <v>0</v>
      </c>
      <c r="I6" s="17"/>
      <c r="L6" s="339">
        <f>IF(E15&gt;0,E15,0)</f>
        <v>0</v>
      </c>
      <c r="M6" s="20">
        <f>IF(E15&gt;0,'HAW-Kennwerte'!C26,0)</f>
        <v>0</v>
      </c>
      <c r="N6" s="205">
        <f>IF(L6&gt;0,IF(E21="ja",'HAW-Kennwerte'!D26,1),0)</f>
        <v>0</v>
      </c>
      <c r="O6" s="22"/>
      <c r="P6" s="23">
        <f>L6*M6*N6</f>
        <v>0</v>
      </c>
      <c r="Q6" s="328">
        <f>IF(P6&gt;0,'HAW-Kennwerte'!Z21,0)</f>
        <v>0</v>
      </c>
      <c r="R6" s="328"/>
      <c r="S6" s="328"/>
      <c r="U6" s="203"/>
      <c r="V6" s="1200"/>
      <c r="W6" s="1201"/>
      <c r="X6" s="1202"/>
    </row>
    <row r="7" spans="1:24" s="19" customFormat="1" ht="11.5" customHeight="1">
      <c r="A7" s="16"/>
      <c r="B7" s="928" t="str">
        <f>HAW!B4</f>
        <v>Hochschule …</v>
      </c>
      <c r="C7" s="928"/>
      <c r="D7" s="928"/>
      <c r="E7" s="928"/>
      <c r="F7" s="18"/>
      <c r="H7" s="203" t="s">
        <v>1</v>
      </c>
      <c r="I7" s="17"/>
      <c r="L7" s="340">
        <f>E23</f>
        <v>0</v>
      </c>
      <c r="M7" s="895">
        <f>IF(L7&gt;0,'HAW-Kennwerte'!I26,0)</f>
        <v>0</v>
      </c>
      <c r="N7" s="205"/>
      <c r="O7" s="896">
        <f>IFERROR(IF(L7&gt;0,(E23*(E24*'HAW-Kennwerte'!K26+E25*'HAW-Kennwerte'!M26))/(E23*M7),0),"")</f>
        <v>0</v>
      </c>
      <c r="P7" s="27">
        <f>IFERROR(L7*M7*O7,"")</f>
        <v>0</v>
      </c>
      <c r="Q7" s="329">
        <f>IF(P7&gt;0,'HAW-Kennwerte'!AA26,0)</f>
        <v>0</v>
      </c>
      <c r="R7" s="329"/>
      <c r="S7" s="329"/>
      <c r="U7" s="203"/>
      <c r="V7" s="1200"/>
      <c r="W7" s="1201"/>
      <c r="X7" s="1202"/>
    </row>
    <row r="8" spans="1:24" s="19" customFormat="1" ht="11.5" customHeight="1">
      <c r="A8" s="16"/>
      <c r="B8" s="473">
        <f>HAW!B5</f>
        <v>0</v>
      </c>
      <c r="F8" s="18"/>
      <c r="H8" s="203" t="s">
        <v>86</v>
      </c>
      <c r="I8" s="17"/>
      <c r="L8" s="29"/>
      <c r="M8" s="20"/>
      <c r="N8" s="21"/>
      <c r="O8" s="22"/>
      <c r="P8" s="52"/>
      <c r="Q8" s="329"/>
      <c r="R8" s="329"/>
      <c r="S8" s="329"/>
      <c r="U8" s="203"/>
      <c r="V8" s="1228"/>
      <c r="W8" s="1229"/>
      <c r="X8" s="1230"/>
    </row>
    <row r="9" spans="1:24" s="19" customFormat="1" ht="11.5" customHeight="1">
      <c r="A9" s="16"/>
      <c r="B9" s="382" t="s">
        <v>93</v>
      </c>
      <c r="C9" s="383"/>
      <c r="D9" s="383"/>
      <c r="E9" s="383"/>
      <c r="F9" s="18"/>
      <c r="H9" s="203" t="s">
        <v>159</v>
      </c>
      <c r="I9" s="17"/>
      <c r="L9" s="339"/>
      <c r="M9" s="30"/>
      <c r="N9" s="21"/>
      <c r="O9" s="22"/>
      <c r="P9" s="52"/>
      <c r="Q9" s="329"/>
      <c r="R9" s="329"/>
      <c r="S9" s="329"/>
      <c r="U9" s="203"/>
      <c r="V9" s="1228"/>
      <c r="W9" s="1229"/>
      <c r="X9" s="1230"/>
    </row>
    <row r="10" spans="1:24" s="19" customFormat="1" ht="11.5" customHeight="1">
      <c r="A10" s="16"/>
      <c r="B10" s="382" t="s">
        <v>92</v>
      </c>
      <c r="C10" s="384"/>
      <c r="D10" s="384"/>
      <c r="E10" s="384"/>
      <c r="F10" s="18"/>
      <c r="H10" s="204" t="s">
        <v>19</v>
      </c>
      <c r="I10" s="17"/>
      <c r="L10" s="765">
        <f>IF(SUM($E$17:$E$18)&gt;0,$S$84,0)</f>
        <v>0</v>
      </c>
      <c r="M10" s="30">
        <f>IF($L$10&gt;0,'HAW-Kennwerte'!R26,0)</f>
        <v>0</v>
      </c>
      <c r="N10" s="205">
        <f>IF(L10&gt;0,E19,0)</f>
        <v>0</v>
      </c>
      <c r="O10" s="26">
        <f>IF(E84&gt;0.15,0,IFERROR((M10+M10*0.9*E84*0.4)/M10,0))</f>
        <v>0</v>
      </c>
      <c r="P10" s="27">
        <f>L10*N10*(M10*O10+IF(E86="ja",'HAW-Kennwerte'!$R$29,0))</f>
        <v>0</v>
      </c>
      <c r="Q10" s="329"/>
      <c r="R10" s="329"/>
      <c r="S10" s="329"/>
      <c r="U10" s="203"/>
      <c r="V10" s="1200"/>
      <c r="W10" s="1201"/>
      <c r="X10" s="1202"/>
    </row>
    <row r="11" spans="1:24" s="19" customFormat="1" ht="11.5" customHeight="1">
      <c r="A11" s="16"/>
      <c r="B11" s="56"/>
      <c r="C11" s="56"/>
      <c r="D11" s="56"/>
      <c r="E11" s="56"/>
      <c r="F11" s="18"/>
      <c r="H11" s="204" t="s">
        <v>91</v>
      </c>
      <c r="I11" s="17"/>
      <c r="L11" s="765">
        <f>IF(SUM($E$17:$E$18)&gt;0,SUM($E$17:$E$18),0)</f>
        <v>0</v>
      </c>
      <c r="M11" s="249">
        <f>IF($L$11&gt;0,'HAW-Kennwerte'!S26,0)</f>
        <v>0</v>
      </c>
      <c r="N11" s="205">
        <f>IF(L11&gt;0,E19,0)</f>
        <v>0</v>
      </c>
      <c r="O11" s="22"/>
      <c r="P11" s="31">
        <f>L11*M11*N11</f>
        <v>0</v>
      </c>
      <c r="Q11" s="329"/>
      <c r="R11" s="329"/>
      <c r="S11" s="329"/>
      <c r="U11" s="203"/>
      <c r="V11" s="1200"/>
      <c r="W11" s="1201"/>
      <c r="X11" s="1202"/>
    </row>
    <row r="12" spans="1:24" s="19" customFormat="1" ht="11.5" customHeight="1">
      <c r="A12" s="16"/>
      <c r="B12" s="24" t="s">
        <v>8</v>
      </c>
      <c r="F12" s="18"/>
      <c r="H12" s="204" t="s">
        <v>109</v>
      </c>
      <c r="I12" s="17"/>
      <c r="L12" s="766">
        <f>IF($E$17&gt;0,$E$17,0)</f>
        <v>0</v>
      </c>
      <c r="M12" s="30">
        <f>IF(L12&gt;0,'HAW-Kennwerte'!U26,0)</f>
        <v>0</v>
      </c>
      <c r="N12" s="205">
        <f>IF(L12&gt;0,IF(E19=0,0,IF(E19&lt;0.7,0.7,E19)),0)</f>
        <v>0</v>
      </c>
      <c r="O12" s="26"/>
      <c r="P12" s="31">
        <f>L12*M12*N12</f>
        <v>0</v>
      </c>
      <c r="Q12" s="329">
        <f>IF(P12&gt;0,'HAW-Kennwerte'!AA26,0)</f>
        <v>0</v>
      </c>
      <c r="R12" s="329"/>
      <c r="S12" s="329"/>
      <c r="U12" s="203"/>
      <c r="V12" s="1200"/>
      <c r="W12" s="1201"/>
      <c r="X12" s="1202"/>
    </row>
    <row r="13" spans="1:24" s="19" customFormat="1" ht="11.5" customHeight="1">
      <c r="A13" s="16"/>
      <c r="B13" s="56" t="s">
        <v>188</v>
      </c>
      <c r="F13" s="18"/>
      <c r="H13" s="204" t="s">
        <v>110</v>
      </c>
      <c r="I13" s="17"/>
      <c r="L13" s="766">
        <f>IF($E$18&gt;0,$E$18,0)</f>
        <v>0</v>
      </c>
      <c r="M13" s="30">
        <f>IF(L13&gt;0,'HAW-Kennwerte'!X26,0)</f>
        <v>0</v>
      </c>
      <c r="N13" s="205">
        <f>IF(L13&gt;0,IF(E19=0,0,IF(E19&lt;0.7,0.7,E19)),0)</f>
        <v>0</v>
      </c>
      <c r="O13" s="22"/>
      <c r="P13" s="31">
        <f>L13*M13*N13</f>
        <v>0</v>
      </c>
      <c r="Q13" s="329">
        <f>IF(P13&gt;0,'HAW-Kennwerte'!AA26,0)</f>
        <v>0</v>
      </c>
      <c r="R13" s="329"/>
      <c r="S13" s="329"/>
      <c r="U13" s="203"/>
      <c r="V13" s="1200"/>
      <c r="W13" s="1201"/>
      <c r="X13" s="1202"/>
    </row>
    <row r="14" spans="1:24" s="19" customFormat="1" ht="11.5" customHeight="1">
      <c r="A14" s="16"/>
      <c r="C14" s="56"/>
      <c r="F14" s="18"/>
      <c r="H14" s="203" t="s">
        <v>20</v>
      </c>
      <c r="I14" s="17"/>
      <c r="K14" s="112"/>
      <c r="L14" s="32"/>
      <c r="M14" s="17"/>
      <c r="N14" s="32"/>
      <c r="O14" s="33"/>
      <c r="P14" s="34">
        <f>SUMPRODUCT(P6:P13,Q6:Q13)</f>
        <v>0</v>
      </c>
      <c r="Q14" s="330"/>
      <c r="R14" s="330"/>
      <c r="S14" s="330"/>
      <c r="U14" s="203"/>
      <c r="V14" s="1200"/>
      <c r="W14" s="1201"/>
      <c r="X14" s="1202"/>
    </row>
    <row r="15" spans="1:24" s="19" customFormat="1" ht="10.5">
      <c r="A15" s="16"/>
      <c r="B15" s="17"/>
      <c r="C15" s="17"/>
      <c r="D15" s="246" t="s">
        <v>73</v>
      </c>
      <c r="E15" s="407"/>
      <c r="F15" s="18"/>
      <c r="H15" s="17"/>
      <c r="I15" s="17"/>
      <c r="K15" s="35"/>
      <c r="L15" s="36"/>
      <c r="M15" s="17"/>
      <c r="N15" s="35"/>
      <c r="O15" s="35"/>
      <c r="P15" s="38">
        <f>SUM(P6:P14)</f>
        <v>0</v>
      </c>
      <c r="Q15" s="330"/>
      <c r="R15" s="330"/>
      <c r="S15" s="330"/>
      <c r="U15" s="203"/>
      <c r="V15" s="1228"/>
      <c r="W15" s="1229"/>
      <c r="X15" s="1230"/>
    </row>
    <row r="16" spans="1:24" s="19" customFormat="1" ht="11.25" customHeight="1">
      <c r="A16" s="16"/>
      <c r="B16" s="17"/>
      <c r="D16" s="223" t="s">
        <v>75</v>
      </c>
      <c r="E16" s="407"/>
      <c r="F16" s="18"/>
      <c r="H16" s="17"/>
      <c r="I16" s="17"/>
      <c r="K16" s="35"/>
      <c r="L16" s="36"/>
      <c r="M16" s="17"/>
      <c r="N16" s="35"/>
      <c r="O16" s="35"/>
      <c r="Q16" s="330"/>
      <c r="R16" s="330"/>
      <c r="S16" s="330"/>
      <c r="U16" s="203"/>
      <c r="V16" s="1228"/>
      <c r="W16" s="1229"/>
      <c r="X16" s="1230"/>
    </row>
    <row r="17" spans="1:24" s="19" customFormat="1">
      <c r="A17" s="16"/>
      <c r="B17" s="17"/>
      <c r="C17" s="17"/>
      <c r="D17" s="223" t="s">
        <v>185</v>
      </c>
      <c r="E17" s="764">
        <f>L84</f>
        <v>0</v>
      </c>
      <c r="F17" s="18"/>
      <c r="H17" s="24" t="s">
        <v>12</v>
      </c>
      <c r="I17" s="17"/>
      <c r="K17" s="35"/>
      <c r="L17" s="36"/>
      <c r="M17" s="17"/>
      <c r="N17" s="35"/>
      <c r="O17" s="35"/>
      <c r="P17" s="37"/>
      <c r="Q17" s="330"/>
      <c r="R17" s="330"/>
      <c r="S17" s="330"/>
      <c r="U17" s="203"/>
      <c r="V17" s="1228"/>
      <c r="W17" s="1229"/>
      <c r="X17" s="1230"/>
    </row>
    <row r="18" spans="1:24" s="19" customFormat="1" ht="11.5" customHeight="1">
      <c r="A18" s="16"/>
      <c r="B18" s="17"/>
      <c r="C18" s="17"/>
      <c r="D18" s="223" t="s">
        <v>186</v>
      </c>
      <c r="E18" s="764">
        <f>Q84</f>
        <v>0</v>
      </c>
      <c r="F18" s="18"/>
      <c r="H18" s="203" t="s">
        <v>0</v>
      </c>
      <c r="I18" s="17"/>
      <c r="L18" s="39">
        <f>E20/100</f>
        <v>0</v>
      </c>
      <c r="M18" s="30">
        <f>IF(N46=0,IF(E20&gt;0,'HAW-Kennwerte'!F26,0),'HAW-Kennwerte'!E26*81600/N46)</f>
        <v>0</v>
      </c>
      <c r="N18" s="205">
        <f>IF(L18&gt;0,IF(E21="ja",'HAW-Kennwerte'!G26,1),0)</f>
        <v>0</v>
      </c>
      <c r="O18" s="205"/>
      <c r="P18" s="23">
        <f>L18*M18*N18</f>
        <v>0</v>
      </c>
      <c r="Q18" s="328">
        <f>IF(P18&gt;0,Q6,0)</f>
        <v>0</v>
      </c>
      <c r="R18" s="328"/>
      <c r="S18" s="328"/>
      <c r="U18" s="203"/>
      <c r="V18" s="1200"/>
      <c r="W18" s="1201"/>
      <c r="X18" s="1202"/>
    </row>
    <row r="19" spans="1:24" s="19" customFormat="1" ht="11.5" customHeight="1">
      <c r="A19" s="16"/>
      <c r="B19" s="17"/>
      <c r="C19" s="17"/>
      <c r="D19" s="53" t="s">
        <v>27</v>
      </c>
      <c r="E19" s="688">
        <f>S88</f>
        <v>0</v>
      </c>
      <c r="F19" s="18"/>
      <c r="H19" s="203" t="s">
        <v>1</v>
      </c>
      <c r="I19" s="17"/>
      <c r="L19" s="39"/>
      <c r="M19" s="30"/>
      <c r="N19" s="25"/>
      <c r="O19" s="25"/>
      <c r="P19" s="52"/>
      <c r="Q19" s="329"/>
      <c r="R19" s="329"/>
      <c r="S19" s="329"/>
      <c r="U19" s="203"/>
      <c r="V19" s="1200"/>
      <c r="W19" s="1201"/>
      <c r="X19" s="1202"/>
    </row>
    <row r="20" spans="1:24" s="19" customFormat="1" ht="11.5" customHeight="1">
      <c r="A20" s="16"/>
      <c r="B20" s="17"/>
      <c r="C20" s="17"/>
      <c r="D20" s="53" t="s">
        <v>28</v>
      </c>
      <c r="E20" s="55">
        <f>H47</f>
        <v>0</v>
      </c>
      <c r="F20" s="18"/>
      <c r="H20" s="203" t="s">
        <v>159</v>
      </c>
      <c r="I20" s="17"/>
      <c r="L20" s="39"/>
      <c r="M20" s="30"/>
      <c r="N20" s="21"/>
      <c r="O20" s="25"/>
      <c r="P20" s="52">
        <f>L20*M20</f>
        <v>0</v>
      </c>
      <c r="Q20" s="329"/>
      <c r="R20" s="329"/>
      <c r="S20" s="329"/>
      <c r="U20" s="203"/>
      <c r="V20" s="1228"/>
      <c r="W20" s="1229"/>
      <c r="X20" s="1230"/>
    </row>
    <row r="21" spans="1:24" s="19" customFormat="1" ht="11.5" customHeight="1">
      <c r="A21" s="16"/>
      <c r="B21" s="17"/>
      <c r="C21" s="17"/>
      <c r="D21" s="223" t="s">
        <v>247</v>
      </c>
      <c r="E21" s="815" t="s">
        <v>248</v>
      </c>
      <c r="F21" s="18"/>
      <c r="H21" s="203" t="s">
        <v>20</v>
      </c>
      <c r="I21" s="17"/>
      <c r="P21" s="34">
        <f>SUMPRODUCT(P18:P20,Q18:Q20)</f>
        <v>0</v>
      </c>
      <c r="Q21" s="329"/>
      <c r="R21" s="329"/>
      <c r="S21" s="329"/>
      <c r="U21" s="203"/>
      <c r="V21" s="1200"/>
      <c r="W21" s="1201"/>
      <c r="X21" s="1202"/>
    </row>
    <row r="22" spans="1:24" s="19" customFormat="1" ht="11.5" customHeight="1">
      <c r="A22" s="16"/>
      <c r="B22" s="17"/>
      <c r="C22" s="2"/>
      <c r="F22" s="18"/>
      <c r="I22" s="17"/>
      <c r="K22" s="17"/>
      <c r="L22" s="213"/>
      <c r="M22" s="17"/>
      <c r="N22" s="112"/>
      <c r="O22" s="212"/>
      <c r="P22" s="38">
        <f>SUM(P18:P21)</f>
        <v>0</v>
      </c>
      <c r="Q22" s="28"/>
      <c r="R22" s="28"/>
      <c r="S22" s="28"/>
      <c r="U22" s="203"/>
      <c r="V22" s="1228"/>
      <c r="W22" s="1229"/>
      <c r="X22" s="1230"/>
    </row>
    <row r="23" spans="1:24" s="19" customFormat="1" ht="11.5" customHeight="1">
      <c r="A23" s="16"/>
      <c r="B23" s="17"/>
      <c r="C23" s="17"/>
      <c r="D23" s="223" t="s">
        <v>127</v>
      </c>
      <c r="E23" s="407">
        <f>P103</f>
        <v>0</v>
      </c>
      <c r="F23" s="18"/>
      <c r="I23" s="17"/>
      <c r="J23" s="112"/>
      <c r="K23" s="17"/>
      <c r="L23" s="44"/>
      <c r="M23" s="17"/>
      <c r="N23" s="112"/>
      <c r="O23" s="212"/>
      <c r="R23" s="40"/>
      <c r="S23" s="40"/>
      <c r="U23" s="203"/>
      <c r="V23" s="1228"/>
      <c r="W23" s="1229"/>
      <c r="X23" s="1230"/>
    </row>
    <row r="24" spans="1:24" ht="12.65" customHeight="1">
      <c r="A24" s="13"/>
      <c r="B24" s="2"/>
      <c r="C24" s="17"/>
      <c r="D24" s="53" t="s">
        <v>13</v>
      </c>
      <c r="E24" s="408" t="str">
        <f>P104</f>
        <v/>
      </c>
      <c r="F24" s="14"/>
      <c r="I24" s="24" t="s">
        <v>15</v>
      </c>
      <c r="J24" s="1"/>
      <c r="K24" s="17"/>
      <c r="L24" s="41"/>
      <c r="M24" s="2"/>
      <c r="P24" s="43"/>
      <c r="Q24" s="1185" t="s">
        <v>789</v>
      </c>
      <c r="R24" s="12"/>
      <c r="S24" s="12"/>
      <c r="V24" s="1231"/>
      <c r="W24" s="1232"/>
      <c r="X24" s="1174"/>
    </row>
    <row r="25" spans="1:24" ht="11.15" customHeight="1">
      <c r="A25" s="13"/>
      <c r="B25" s="2"/>
      <c r="D25" s="53" t="s">
        <v>14</v>
      </c>
      <c r="E25" s="688">
        <f>IF(E23&gt;0,IF(E24="",0,1-E24),0)</f>
        <v>0</v>
      </c>
      <c r="F25" s="14"/>
      <c r="I25" s="1169" t="s">
        <v>293</v>
      </c>
      <c r="J25" s="385"/>
      <c r="K25" s="385"/>
      <c r="L25" s="386"/>
      <c r="M25" s="387"/>
      <c r="N25" s="388"/>
      <c r="P25" s="404"/>
      <c r="Q25" s="720"/>
      <c r="R25" s="813"/>
      <c r="S25" s="813"/>
      <c r="V25" s="1231"/>
      <c r="W25" s="1232"/>
      <c r="X25" s="1174"/>
    </row>
    <row r="26" spans="1:24">
      <c r="A26" s="13"/>
      <c r="B26" s="2"/>
      <c r="C26" s="2"/>
      <c r="D26" s="2"/>
      <c r="E26" s="2"/>
      <c r="F26" s="14"/>
      <c r="I26" s="1170"/>
      <c r="J26" s="389"/>
      <c r="K26" s="389"/>
      <c r="L26" s="390"/>
      <c r="M26" s="389"/>
      <c r="N26" s="391"/>
      <c r="P26" s="405"/>
      <c r="Q26" s="720"/>
      <c r="R26" s="813"/>
      <c r="S26" s="813"/>
      <c r="V26" s="1231"/>
      <c r="W26" s="1232"/>
      <c r="X26" s="1174"/>
    </row>
    <row r="27" spans="1:24" s="19" customFormat="1" ht="11.5" customHeight="1">
      <c r="A27" s="16"/>
      <c r="B27" s="17"/>
      <c r="C27" s="53" t="s">
        <v>29</v>
      </c>
      <c r="D27" s="1367">
        <f>HAW!D24</f>
        <v>0</v>
      </c>
      <c r="E27" s="1368"/>
      <c r="F27" s="18"/>
      <c r="I27" s="1170"/>
      <c r="J27" s="392"/>
      <c r="K27" s="392"/>
      <c r="L27" s="392"/>
      <c r="M27" s="392"/>
      <c r="N27" s="393"/>
      <c r="O27" s="35"/>
      <c r="P27" s="405"/>
      <c r="Q27" s="721"/>
      <c r="R27" s="814"/>
      <c r="S27" s="814"/>
      <c r="U27" s="203"/>
      <c r="V27" s="1228"/>
      <c r="W27" s="1229"/>
      <c r="X27" s="1230"/>
    </row>
    <row r="28" spans="1:24" s="19" customFormat="1" ht="11.5" customHeight="1">
      <c r="A28" s="16"/>
      <c r="B28" s="17"/>
      <c r="C28" s="53" t="s">
        <v>30</v>
      </c>
      <c r="D28" s="1369">
        <f>HAW!D25</f>
        <v>0</v>
      </c>
      <c r="E28" s="1370"/>
      <c r="F28" s="18"/>
      <c r="I28" s="1170"/>
      <c r="J28" s="392"/>
      <c r="K28" s="392"/>
      <c r="L28" s="392"/>
      <c r="M28" s="392"/>
      <c r="N28" s="392"/>
      <c r="P28" s="405"/>
      <c r="Q28" s="721"/>
      <c r="R28" s="814"/>
      <c r="S28" s="814"/>
      <c r="U28" s="203"/>
      <c r="V28" s="1228"/>
      <c r="W28" s="1229"/>
      <c r="X28" s="1230"/>
    </row>
    <row r="29" spans="1:24" s="19" customFormat="1" ht="11.5" customHeight="1">
      <c r="A29" s="102"/>
      <c r="B29" s="103"/>
      <c r="C29" s="103"/>
      <c r="D29" s="103"/>
      <c r="E29" s="103"/>
      <c r="F29" s="104"/>
      <c r="I29" s="1170"/>
      <c r="J29" s="392"/>
      <c r="K29" s="392"/>
      <c r="L29" s="392"/>
      <c r="M29" s="392"/>
      <c r="N29" s="392"/>
      <c r="P29" s="406"/>
      <c r="Q29" s="721"/>
      <c r="R29" s="814"/>
      <c r="S29" s="814"/>
      <c r="U29" s="203"/>
      <c r="V29" s="1228"/>
      <c r="W29" s="1229"/>
      <c r="X29" s="1230"/>
    </row>
    <row r="30" spans="1:24" s="19" customFormat="1" ht="11.25" customHeight="1">
      <c r="A30" s="17"/>
      <c r="I30" s="17"/>
      <c r="P30" s="38">
        <f>SUM(P25:P29)</f>
        <v>0</v>
      </c>
      <c r="Q30" s="40"/>
      <c r="R30" s="40"/>
      <c r="S30" s="40"/>
      <c r="U30" s="203"/>
      <c r="V30" s="1228"/>
      <c r="W30" s="1229"/>
      <c r="X30" s="1230"/>
    </row>
    <row r="31" spans="1:24" ht="11.25" customHeight="1">
      <c r="A31" s="2"/>
      <c r="B31" s="2"/>
      <c r="C31" s="2"/>
      <c r="H31" s="106"/>
      <c r="I31" s="224"/>
      <c r="J31" s="225"/>
      <c r="K31" s="224"/>
      <c r="L31" s="226"/>
      <c r="M31" s="225"/>
      <c r="N31" s="107"/>
      <c r="O31" s="107"/>
      <c r="P31" s="227"/>
      <c r="Q31" s="50"/>
      <c r="R31" s="50"/>
      <c r="S31" s="50"/>
      <c r="V31" s="1231"/>
      <c r="W31" s="1232"/>
      <c r="X31" s="1174"/>
    </row>
    <row r="32" spans="1:24" ht="11.25" customHeight="1">
      <c r="A32" s="2"/>
      <c r="B32" s="2"/>
      <c r="C32" s="2"/>
      <c r="I32" s="47"/>
      <c r="J32" s="24"/>
      <c r="K32" s="47"/>
      <c r="L32" s="48"/>
      <c r="M32" s="24"/>
      <c r="N32" s="49"/>
      <c r="O32" s="49"/>
      <c r="P32" s="50"/>
      <c r="Q32" s="50"/>
      <c r="R32" s="50"/>
      <c r="S32" s="50"/>
      <c r="V32" s="1231"/>
      <c r="W32" s="1232"/>
      <c r="X32" s="1174"/>
    </row>
    <row r="33" spans="1:24" ht="50.15" customHeight="1" thickBot="1">
      <c r="A33" s="2"/>
      <c r="B33" s="2"/>
      <c r="C33" s="2"/>
      <c r="D33" s="2"/>
      <c r="F33" s="219" t="s">
        <v>16</v>
      </c>
      <c r="G33" s="2"/>
      <c r="H33" s="220" t="s">
        <v>0</v>
      </c>
      <c r="I33" s="220" t="s">
        <v>1</v>
      </c>
      <c r="J33" s="221" t="s">
        <v>197</v>
      </c>
      <c r="K33" s="221" t="s">
        <v>159</v>
      </c>
      <c r="L33" s="221" t="s">
        <v>198</v>
      </c>
      <c r="M33" s="221" t="s">
        <v>22</v>
      </c>
      <c r="N33" s="220" t="s">
        <v>20</v>
      </c>
      <c r="O33" s="221" t="s">
        <v>199</v>
      </c>
      <c r="T33" s="77"/>
      <c r="V33" s="1231"/>
      <c r="W33" s="1232"/>
      <c r="X33" s="1174"/>
    </row>
    <row r="34" spans="1:24" ht="17.149999999999999" customHeight="1" thickBot="1">
      <c r="B34" s="2"/>
      <c r="C34" s="2"/>
      <c r="D34" s="2"/>
      <c r="G34" s="2"/>
      <c r="H34" s="222">
        <f>P6+P18+SUMIF(Q25:Q29,H33,P25:P29)</f>
        <v>0</v>
      </c>
      <c r="I34" s="222">
        <f>IFERROR(P7+P19+SUMIF(Q25:Q29,I33,P25:P29),"")</f>
        <v>0</v>
      </c>
      <c r="J34" s="422"/>
      <c r="K34" s="422"/>
      <c r="L34" s="222">
        <f>P10+P11+SUMIF(Q25:Q29,L33,P25:P29)</f>
        <v>0</v>
      </c>
      <c r="M34" s="222">
        <f>P12+P13+SUMIF(Q25:Q29,M33,P25:P29)</f>
        <v>0</v>
      </c>
      <c r="N34" s="222">
        <f>P14+P21+SUMIF(Q25:Q29,N33,P25:P29)</f>
        <v>0</v>
      </c>
      <c r="O34" s="222">
        <f>SUMIF(Q25:Q29,O33,P25:P29)</f>
        <v>0</v>
      </c>
      <c r="P34" s="331">
        <f>SUM(H34:O34)</f>
        <v>0</v>
      </c>
      <c r="Q34" s="101"/>
      <c r="R34" s="101"/>
      <c r="S34" s="101"/>
      <c r="T34" s="77"/>
      <c r="V34" s="1231"/>
      <c r="W34" s="1232"/>
      <c r="X34" s="1174"/>
    </row>
    <row r="35" spans="1:24">
      <c r="A35" s="106"/>
      <c r="B35" s="105"/>
      <c r="C35" s="46"/>
      <c r="D35" s="46"/>
      <c r="E35" s="46"/>
      <c r="F35" s="46"/>
      <c r="G35" s="106"/>
      <c r="H35" s="106"/>
      <c r="I35" s="106"/>
      <c r="J35" s="107"/>
      <c r="K35" s="106"/>
      <c r="L35" s="107"/>
      <c r="M35" s="106"/>
      <c r="N35" s="107"/>
      <c r="O35" s="107"/>
      <c r="P35" s="107"/>
      <c r="Q35" s="107"/>
      <c r="R35" s="49"/>
      <c r="S35" s="49"/>
      <c r="T35" s="77"/>
      <c r="V35" s="1231"/>
      <c r="W35" s="1232"/>
      <c r="X35" s="1174"/>
    </row>
    <row r="36" spans="1:24">
      <c r="S36" s="49"/>
      <c r="T36" s="77"/>
      <c r="V36" s="1231"/>
      <c r="W36" s="1232"/>
      <c r="X36" s="1174"/>
    </row>
    <row r="37" spans="1:24">
      <c r="A37" s="7"/>
      <c r="B37" s="8"/>
      <c r="C37" s="8"/>
      <c r="D37" s="8"/>
      <c r="E37" s="8"/>
      <c r="F37" s="8"/>
      <c r="G37" s="8"/>
      <c r="H37" s="8"/>
      <c r="I37" s="8"/>
      <c r="J37" s="8"/>
      <c r="K37" s="8"/>
      <c r="L37" s="8"/>
      <c r="M37" s="8"/>
      <c r="N37" s="108"/>
      <c r="O37" s="108"/>
      <c r="P37" s="109"/>
      <c r="S37" s="49"/>
      <c r="T37" s="77"/>
      <c r="V37" s="1231"/>
      <c r="W37" s="1232"/>
      <c r="X37" s="1174"/>
    </row>
    <row r="38" spans="1:24" ht="10.5">
      <c r="A38" s="13"/>
      <c r="E38" s="110" t="s">
        <v>70</v>
      </c>
      <c r="F38" s="2"/>
      <c r="G38" s="2"/>
      <c r="H38" s="2"/>
      <c r="I38" s="2"/>
      <c r="J38" s="2"/>
      <c r="K38" s="238" t="s">
        <v>69</v>
      </c>
      <c r="M38" s="2"/>
      <c r="N38" s="49"/>
      <c r="O38" s="49"/>
      <c r="P38" s="111"/>
      <c r="S38" s="49"/>
      <c r="T38" s="77"/>
      <c r="V38" s="1231"/>
      <c r="W38" s="1232"/>
      <c r="X38" s="1174"/>
    </row>
    <row r="39" spans="1:24" ht="2.5" customHeight="1">
      <c r="A39" s="13"/>
      <c r="E39" s="110"/>
      <c r="F39" s="2"/>
      <c r="G39" s="2"/>
      <c r="H39" s="46"/>
      <c r="I39" s="2"/>
      <c r="J39" s="2"/>
      <c r="K39" s="2"/>
      <c r="L39" s="2"/>
      <c r="M39" s="2"/>
      <c r="N39" s="49"/>
      <c r="O39" s="49"/>
      <c r="P39" s="111"/>
      <c r="S39" s="49"/>
      <c r="T39" s="77"/>
      <c r="V39" s="1231"/>
      <c r="W39" s="1232"/>
      <c r="X39" s="1174"/>
    </row>
    <row r="40" spans="1:24" ht="11.15" customHeight="1">
      <c r="A40" s="13"/>
      <c r="E40" s="207">
        <f>IF($E$44&gt;2023,$E$44-4,"")</f>
        <v>2021</v>
      </c>
      <c r="H40" s="409"/>
      <c r="I40" s="2" t="s">
        <v>25</v>
      </c>
      <c r="J40" s="2"/>
      <c r="K40" s="2"/>
      <c r="L40" s="49"/>
      <c r="M40" s="2"/>
      <c r="N40" s="49"/>
      <c r="O40" s="49"/>
      <c r="P40" s="111"/>
      <c r="S40" s="49"/>
      <c r="T40" s="77"/>
      <c r="V40" s="1231"/>
      <c r="W40" s="1232"/>
      <c r="X40" s="1174"/>
    </row>
    <row r="41" spans="1:24" ht="11.15" customHeight="1">
      <c r="A41" s="13"/>
      <c r="E41" s="207">
        <f>IF($E$44&gt;2023,$E$44-3,"")</f>
        <v>2022</v>
      </c>
      <c r="H41" s="409"/>
      <c r="I41" s="228" t="s">
        <v>25</v>
      </c>
      <c r="J41" s="2"/>
      <c r="K41" s="2"/>
      <c r="L41" s="49"/>
      <c r="M41" s="2"/>
      <c r="N41" s="49"/>
      <c r="O41" s="49"/>
      <c r="P41" s="111"/>
      <c r="S41" s="49"/>
      <c r="T41" s="77"/>
      <c r="V41" s="1231"/>
      <c r="W41" s="1232"/>
      <c r="X41" s="1174"/>
    </row>
    <row r="42" spans="1:24" ht="11.15" customHeight="1">
      <c r="A42" s="13"/>
      <c r="E42" s="207">
        <f>IF($E$44&gt;2023,$E$44-2,"")</f>
        <v>2023</v>
      </c>
      <c r="H42" s="409"/>
      <c r="I42" s="228" t="s">
        <v>25</v>
      </c>
      <c r="J42" s="2"/>
      <c r="K42" s="2"/>
      <c r="L42" s="49"/>
      <c r="M42" s="2"/>
      <c r="N42" s="49"/>
      <c r="O42" s="49"/>
      <c r="P42" s="111"/>
      <c r="S42" s="49"/>
      <c r="T42" s="77"/>
      <c r="V42" s="1231"/>
      <c r="W42" s="1232"/>
      <c r="X42" s="1174"/>
    </row>
    <row r="43" spans="1:24" ht="11.15" customHeight="1">
      <c r="A43" s="13"/>
      <c r="E43" s="207">
        <f>IF($E$44&gt;2023,$E$44-1,"")</f>
        <v>2024</v>
      </c>
      <c r="H43" s="409"/>
      <c r="I43" s="228" t="s">
        <v>25</v>
      </c>
      <c r="J43" s="2"/>
      <c r="M43" s="207" t="s">
        <v>56</v>
      </c>
      <c r="N43" s="247">
        <f>'HAW-Kennwerte'!E29</f>
        <v>81600</v>
      </c>
      <c r="O43" s="49"/>
      <c r="P43" s="111"/>
      <c r="S43" s="49"/>
      <c r="T43" s="77"/>
      <c r="V43" s="1231"/>
      <c r="W43" s="1232"/>
      <c r="X43" s="1174"/>
    </row>
    <row r="44" spans="1:24" ht="11.15" customHeight="1">
      <c r="A44" s="13"/>
      <c r="D44" s="236" t="s">
        <v>184</v>
      </c>
      <c r="E44" s="717">
        <v>2025</v>
      </c>
      <c r="H44" s="409"/>
      <c r="I44" s="228" t="s">
        <v>25</v>
      </c>
      <c r="J44" s="49"/>
      <c r="M44" s="207" t="s">
        <v>119</v>
      </c>
      <c r="N44" s="475"/>
      <c r="O44" s="49"/>
      <c r="P44" s="111"/>
      <c r="S44" s="49"/>
      <c r="T44" s="77"/>
      <c r="V44" s="1231"/>
      <c r="W44" s="1232"/>
      <c r="X44" s="1174"/>
    </row>
    <row r="45" spans="1:24" ht="2.5" customHeight="1">
      <c r="A45" s="13"/>
      <c r="E45" s="2"/>
      <c r="F45" s="2"/>
      <c r="H45" s="2"/>
      <c r="I45" s="2"/>
      <c r="J45" s="49"/>
      <c r="M45" s="2"/>
      <c r="N45" s="2"/>
      <c r="O45" s="49"/>
      <c r="P45" s="111"/>
      <c r="S45" s="49"/>
      <c r="T45" s="77"/>
      <c r="V45" s="1231"/>
      <c r="W45" s="1232"/>
      <c r="X45" s="1174"/>
    </row>
    <row r="46" spans="1:24">
      <c r="A46" s="13"/>
      <c r="E46" s="2"/>
      <c r="F46" s="2"/>
      <c r="G46" s="116" t="s">
        <v>33</v>
      </c>
      <c r="H46" s="409"/>
      <c r="I46" s="2"/>
      <c r="J46" s="49"/>
      <c r="M46" s="116" t="s">
        <v>33</v>
      </c>
      <c r="N46" s="409"/>
      <c r="O46" s="49"/>
      <c r="P46" s="111"/>
      <c r="S46" s="49"/>
      <c r="T46" s="77"/>
      <c r="V46" s="1231"/>
      <c r="W46" s="1232"/>
      <c r="X46" s="1174"/>
    </row>
    <row r="47" spans="1:24" ht="12" customHeight="1">
      <c r="A47" s="13"/>
      <c r="E47" s="2"/>
      <c r="F47" s="2"/>
      <c r="G47" s="2"/>
      <c r="H47" s="54">
        <f>IF(H46=0,(H44*1.02*5+H43*1.04*4+H42*1.06*3+H41*1.08*2+H40*1.1)/15,H46)</f>
        <v>0</v>
      </c>
      <c r="I47" s="2"/>
      <c r="J47" s="49"/>
      <c r="M47" s="2"/>
      <c r="N47" s="54">
        <f>IF(N46&gt;0,N46,'HAW-Kennwerte'!E31)</f>
        <v>81600</v>
      </c>
      <c r="O47" s="49"/>
      <c r="P47" s="111"/>
      <c r="S47" s="49"/>
      <c r="T47" s="77"/>
      <c r="V47" s="1200"/>
      <c r="W47" s="1201"/>
      <c r="X47" s="1202"/>
    </row>
    <row r="48" spans="1:24">
      <c r="A48" s="45"/>
      <c r="B48" s="46"/>
      <c r="C48" s="46"/>
      <c r="D48" s="46"/>
      <c r="E48" s="46"/>
      <c r="F48" s="46"/>
      <c r="G48" s="46"/>
      <c r="H48" s="46"/>
      <c r="I48" s="46"/>
      <c r="J48" s="119"/>
      <c r="K48" s="46"/>
      <c r="L48" s="119"/>
      <c r="M48" s="46"/>
      <c r="N48" s="119"/>
      <c r="O48" s="119"/>
      <c r="P48" s="120"/>
      <c r="S48" s="49"/>
      <c r="T48" s="77"/>
      <c r="V48" s="1231"/>
      <c r="W48" s="1232"/>
      <c r="X48" s="1174"/>
    </row>
    <row r="49" spans="1:24" ht="11.25" customHeight="1">
      <c r="B49" s="117" t="s">
        <v>34</v>
      </c>
      <c r="S49" s="49"/>
      <c r="T49" s="2"/>
      <c r="V49" s="1231"/>
      <c r="W49" s="1232"/>
      <c r="X49" s="1174"/>
    </row>
    <row r="50" spans="1:24">
      <c r="A50" s="2"/>
      <c r="B50" s="106"/>
      <c r="C50" s="209"/>
      <c r="D50" s="106"/>
      <c r="E50" s="106"/>
      <c r="F50" s="106"/>
      <c r="G50" s="106"/>
      <c r="H50" s="106"/>
      <c r="I50" s="106"/>
      <c r="J50" s="106"/>
      <c r="K50" s="107"/>
      <c r="L50" s="106"/>
      <c r="M50" s="107"/>
      <c r="N50" s="106"/>
      <c r="O50" s="107"/>
      <c r="P50" s="107"/>
      <c r="Q50" s="107"/>
      <c r="R50" s="49"/>
      <c r="S50" s="49"/>
      <c r="T50" s="49"/>
      <c r="V50" s="1231"/>
      <c r="W50" s="1232"/>
      <c r="X50" s="1174"/>
    </row>
    <row r="51" spans="1:24">
      <c r="A51" s="2"/>
      <c r="J51" s="1"/>
      <c r="K51" s="42"/>
      <c r="L51" s="1"/>
      <c r="M51" s="42"/>
      <c r="N51" s="1"/>
      <c r="Q51" s="201" t="str">
        <f>HAW!B28</f>
        <v>Kennwertverfahren NRW für HAW; HIS-Institut für Hochschulentwicklung e.V. (24.04.2026)</v>
      </c>
      <c r="R51" s="250"/>
      <c r="S51" s="2"/>
      <c r="T51" s="2"/>
      <c r="V51" s="1231"/>
      <c r="W51" s="1232"/>
      <c r="X51" s="1174"/>
    </row>
    <row r="52" spans="1:24">
      <c r="A52" s="2"/>
      <c r="T52" s="121"/>
      <c r="V52" s="1231"/>
      <c r="W52" s="1232"/>
      <c r="X52" s="1174"/>
    </row>
    <row r="53" spans="1:24">
      <c r="A53" s="2"/>
      <c r="T53" s="121"/>
      <c r="V53" s="1231"/>
      <c r="W53" s="1232"/>
      <c r="X53" s="1174"/>
    </row>
    <row r="54" spans="1:24" ht="10.5">
      <c r="A54" s="2"/>
      <c r="B54" s="394" t="str">
        <f>IF(B8=0,B7,CONCATENATE(B7,B8))</f>
        <v>Hochschule …</v>
      </c>
      <c r="C54" s="395"/>
      <c r="D54" s="395"/>
      <c r="E54" s="395"/>
      <c r="F54" s="395"/>
      <c r="G54" s="395"/>
      <c r="H54" s="395"/>
      <c r="I54" s="395"/>
      <c r="J54" s="396"/>
      <c r="K54" s="395"/>
      <c r="L54" s="396"/>
      <c r="M54" s="395"/>
      <c r="N54" s="396"/>
      <c r="O54" s="396"/>
      <c r="P54" s="396"/>
      <c r="Q54" s="396"/>
      <c r="R54" s="396"/>
      <c r="S54" s="396"/>
      <c r="T54" s="121"/>
      <c r="V54" s="1231"/>
      <c r="W54" s="1232"/>
      <c r="X54" s="1174"/>
    </row>
    <row r="55" spans="1:24">
      <c r="A55" s="2"/>
      <c r="B55" s="395" t="str">
        <f>B9</f>
        <v>[Fakultät/Fachbereich]</v>
      </c>
      <c r="C55" s="395"/>
      <c r="D55" s="395"/>
      <c r="E55" s="395"/>
      <c r="F55" s="395"/>
      <c r="G55" s="395"/>
      <c r="H55" s="395"/>
      <c r="I55" s="395"/>
      <c r="J55" s="396"/>
      <c r="K55" s="395"/>
      <c r="L55" s="396"/>
      <c r="M55" s="395"/>
      <c r="N55" s="396"/>
      <c r="O55" s="396"/>
      <c r="P55" s="396"/>
      <c r="Q55" s="396"/>
      <c r="R55" s="396"/>
      <c r="S55" s="396"/>
      <c r="T55" s="121"/>
      <c r="V55" s="1231"/>
      <c r="W55" s="1232"/>
      <c r="X55" s="1174"/>
    </row>
    <row r="56" spans="1:24">
      <c r="A56" s="2"/>
      <c r="B56" s="395" t="str">
        <f>B10</f>
        <v>[Department, Institut o.a.]</v>
      </c>
      <c r="C56" s="395"/>
      <c r="D56" s="395"/>
      <c r="E56" s="395"/>
      <c r="F56" s="395"/>
      <c r="G56" s="395"/>
      <c r="H56" s="395"/>
      <c r="I56" s="395"/>
      <c r="J56" s="396"/>
      <c r="K56" s="395"/>
      <c r="L56" s="396"/>
      <c r="M56" s="395"/>
      <c r="N56" s="396"/>
      <c r="O56" s="396"/>
      <c r="P56" s="396"/>
      <c r="Q56" s="396"/>
      <c r="R56" s="396"/>
      <c r="S56" s="396"/>
      <c r="T56" s="121"/>
      <c r="V56" s="1231"/>
      <c r="W56" s="1232"/>
      <c r="X56" s="1174"/>
    </row>
    <row r="57" spans="1:24">
      <c r="A57" s="2"/>
      <c r="B57" s="395" t="str">
        <f>CONCATENATE(B12,": ",B13)</f>
        <v>Lehr- und Forschungsbereich: Sozial- und Erziehungswissenschaften</v>
      </c>
      <c r="C57" s="395"/>
      <c r="D57" s="395"/>
      <c r="E57" s="395"/>
      <c r="F57" s="395"/>
      <c r="G57" s="395"/>
      <c r="H57" s="395"/>
      <c r="I57" s="395"/>
      <c r="J57" s="396"/>
      <c r="K57" s="395"/>
      <c r="L57" s="396"/>
      <c r="M57" s="395"/>
      <c r="N57" s="396"/>
      <c r="O57" s="396"/>
      <c r="P57" s="396"/>
      <c r="Q57" s="396"/>
      <c r="R57" s="396"/>
      <c r="S57" s="396"/>
      <c r="T57" s="121"/>
      <c r="V57" s="1231"/>
      <c r="W57" s="1232"/>
      <c r="X57" s="1174"/>
    </row>
    <row r="58" spans="1:24">
      <c r="A58" s="2"/>
      <c r="T58" s="121"/>
      <c r="V58" s="1231"/>
      <c r="W58" s="1232"/>
      <c r="X58" s="1174"/>
    </row>
    <row r="59" spans="1:24">
      <c r="A59" s="2"/>
      <c r="B59" s="378" t="s">
        <v>95</v>
      </c>
      <c r="T59" s="121"/>
      <c r="V59" s="1231"/>
      <c r="W59" s="1232"/>
      <c r="X59" s="1174"/>
    </row>
    <row r="60" spans="1:24" s="202" customFormat="1" ht="2.25" customHeight="1">
      <c r="A60" s="110"/>
      <c r="B60" s="909"/>
      <c r="C60" s="910"/>
      <c r="D60" s="910"/>
      <c r="E60" s="910"/>
      <c r="F60" s="910"/>
      <c r="G60" s="910"/>
      <c r="H60" s="910"/>
      <c r="I60" s="910"/>
      <c r="J60" s="544"/>
      <c r="K60" s="910"/>
      <c r="L60" s="544"/>
      <c r="M60" s="910"/>
      <c r="N60" s="544"/>
      <c r="O60" s="544"/>
      <c r="P60" s="544"/>
      <c r="Q60" s="544"/>
      <c r="R60" s="544"/>
      <c r="S60" s="544"/>
      <c r="T60" s="320"/>
      <c r="V60" s="1231"/>
      <c r="W60" s="1232"/>
      <c r="X60" s="1174"/>
    </row>
    <row r="61" spans="1:24" s="202" customFormat="1" ht="10" customHeight="1">
      <c r="A61" s="206"/>
      <c r="B61" s="210"/>
      <c r="C61" s="206"/>
      <c r="D61" s="206"/>
      <c r="E61" s="206"/>
      <c r="F61" s="206"/>
      <c r="G61" s="206"/>
      <c r="H61" s="238"/>
      <c r="I61" s="238"/>
      <c r="J61" s="239"/>
      <c r="K61" s="238"/>
      <c r="L61" s="239"/>
      <c r="M61" s="238"/>
      <c r="N61" s="239"/>
      <c r="O61" s="239"/>
      <c r="P61" s="239"/>
      <c r="Q61" s="208"/>
      <c r="R61" s="208"/>
      <c r="S61" s="1166" t="s">
        <v>60</v>
      </c>
      <c r="T61" s="321"/>
      <c r="V61" s="1231"/>
      <c r="W61" s="1232"/>
      <c r="X61" s="1174"/>
    </row>
    <row r="62" spans="1:24" s="202" customFormat="1" ht="10" customHeight="1">
      <c r="A62" s="206"/>
      <c r="B62" s="210"/>
      <c r="C62" s="206"/>
      <c r="E62" s="206"/>
      <c r="F62" s="206"/>
      <c r="G62" s="206"/>
      <c r="H62" s="240" t="s">
        <v>60</v>
      </c>
      <c r="I62" s="241"/>
      <c r="J62" s="241"/>
      <c r="K62" s="240"/>
      <c r="L62" s="240"/>
      <c r="M62" s="243" t="s">
        <v>61</v>
      </c>
      <c r="N62" s="241"/>
      <c r="O62" s="240"/>
      <c r="P62" s="240"/>
      <c r="Q62" s="240"/>
      <c r="R62" s="240"/>
      <c r="S62" s="1189" t="s">
        <v>857</v>
      </c>
      <c r="T62" s="321"/>
      <c r="V62" s="1231"/>
      <c r="W62" s="1232"/>
      <c r="X62" s="1174"/>
    </row>
    <row r="63" spans="1:24" ht="10.4" customHeight="1">
      <c r="A63" s="2"/>
      <c r="B63" s="235"/>
      <c r="C63" s="204"/>
      <c r="F63" s="2"/>
      <c r="G63" s="2"/>
      <c r="H63" s="49"/>
      <c r="I63" s="2"/>
      <c r="J63" s="2"/>
      <c r="K63" s="49"/>
      <c r="L63" s="1"/>
      <c r="M63" s="244"/>
      <c r="N63" s="2"/>
      <c r="O63" s="49"/>
      <c r="P63" s="1"/>
      <c r="Q63" s="49"/>
      <c r="R63" s="49"/>
      <c r="S63" s="234"/>
      <c r="T63" s="321"/>
      <c r="V63" s="1231"/>
      <c r="W63" s="1232"/>
      <c r="X63" s="1174"/>
    </row>
    <row r="64" spans="1:24" ht="10.5">
      <c r="A64" s="2"/>
      <c r="B64" s="235"/>
      <c r="C64" s="204"/>
      <c r="E64" s="237" t="s">
        <v>66</v>
      </c>
      <c r="F64" s="2"/>
      <c r="G64" s="2"/>
      <c r="H64" s="202" t="s">
        <v>67</v>
      </c>
      <c r="I64" s="2"/>
      <c r="J64" s="2"/>
      <c r="K64" s="49"/>
      <c r="L64" s="1"/>
      <c r="M64" s="245" t="s">
        <v>67</v>
      </c>
      <c r="N64" s="2"/>
      <c r="O64" s="49"/>
      <c r="P64" s="1"/>
      <c r="T64" s="321"/>
      <c r="V64" s="1231"/>
      <c r="W64" s="1232"/>
      <c r="X64" s="1174"/>
    </row>
    <row r="65" spans="1:24" ht="12" customHeight="1">
      <c r="A65" s="2"/>
      <c r="B65" s="210"/>
      <c r="C65" s="206"/>
      <c r="D65" s="236" t="s">
        <v>65</v>
      </c>
      <c r="E65" s="410"/>
      <c r="F65" s="2"/>
      <c r="G65" s="2"/>
      <c r="H65" s="325">
        <f>SUM(H70:H81)</f>
        <v>0</v>
      </c>
      <c r="I65" s="326"/>
      <c r="J65" s="2"/>
      <c r="K65" s="49"/>
      <c r="L65" s="1"/>
      <c r="M65" s="1191">
        <f>SUM(M70:M81)</f>
        <v>0</v>
      </c>
      <c r="N65" s="326"/>
      <c r="O65" s="49"/>
      <c r="P65" s="1"/>
      <c r="S65" s="323">
        <f>H65+M65</f>
        <v>0</v>
      </c>
      <c r="T65" s="321"/>
      <c r="V65" s="1231"/>
      <c r="W65" s="1232"/>
      <c r="X65" s="1174"/>
    </row>
    <row r="66" spans="1:24" ht="12" customHeight="1">
      <c r="A66" s="2"/>
      <c r="B66" s="210"/>
      <c r="C66" s="206"/>
      <c r="D66" s="236" t="s">
        <v>74</v>
      </c>
      <c r="E66" s="411"/>
      <c r="F66" s="2"/>
      <c r="G66" s="2"/>
      <c r="H66" s="338">
        <f>H65*SUM(E65,E66)</f>
        <v>0</v>
      </c>
      <c r="I66" s="327" t="str">
        <f>IF(H66&gt;0,"SWS","")</f>
        <v/>
      </c>
      <c r="J66" s="2"/>
      <c r="K66" s="49"/>
      <c r="L66" s="1"/>
      <c r="M66" s="1192">
        <f>M65*SUM(E65,E66)</f>
        <v>0</v>
      </c>
      <c r="N66" s="327" t="str">
        <f>IF(M66&gt;0,"SWS","")</f>
        <v/>
      </c>
      <c r="O66" s="49"/>
      <c r="P66" s="1"/>
      <c r="S66" s="55">
        <f>SUM(H66,M66)</f>
        <v>0</v>
      </c>
      <c r="T66" s="321"/>
      <c r="V66" s="1231"/>
      <c r="W66" s="1232"/>
      <c r="X66" s="1174"/>
    </row>
    <row r="67" spans="1:24" ht="10.5">
      <c r="A67" s="2"/>
      <c r="B67" s="13"/>
      <c r="C67" s="2"/>
      <c r="D67" s="2"/>
      <c r="E67" s="324">
        <f>SUM(E65:E66)</f>
        <v>0</v>
      </c>
      <c r="F67" s="2"/>
      <c r="G67" s="2"/>
      <c r="H67" s="2"/>
      <c r="I67" s="2"/>
      <c r="J67" s="2"/>
      <c r="K67" s="49"/>
      <c r="L67" s="1"/>
      <c r="M67" s="244"/>
      <c r="N67" s="2"/>
      <c r="O67" s="49"/>
      <c r="P67" s="49"/>
      <c r="Q67" s="49"/>
      <c r="R67" s="49"/>
      <c r="S67" s="49"/>
      <c r="T67" s="321"/>
      <c r="V67" s="1231"/>
      <c r="W67" s="1232"/>
      <c r="X67" s="1174"/>
    </row>
    <row r="68" spans="1:24">
      <c r="A68" s="2"/>
      <c r="B68" s="13"/>
      <c r="C68" s="2"/>
      <c r="D68" s="2"/>
      <c r="F68" s="2"/>
      <c r="G68" s="2"/>
      <c r="H68" s="2"/>
      <c r="I68" s="2"/>
      <c r="J68" s="2"/>
      <c r="K68" s="113" t="s">
        <v>97</v>
      </c>
      <c r="L68" s="1"/>
      <c r="M68" s="244"/>
      <c r="N68" s="2"/>
      <c r="O68" s="49"/>
      <c r="P68" s="113" t="s">
        <v>97</v>
      </c>
      <c r="Q68" s="49"/>
      <c r="R68" s="49"/>
      <c r="S68" s="49"/>
      <c r="T68" s="321"/>
      <c r="V68" s="1231"/>
      <c r="W68" s="1232"/>
      <c r="X68" s="1174"/>
    </row>
    <row r="69" spans="1:24" ht="13.4" customHeight="1">
      <c r="A69" s="2"/>
      <c r="B69" s="13"/>
      <c r="C69" s="2"/>
      <c r="D69" s="2"/>
      <c r="E69" s="114"/>
      <c r="F69" s="2"/>
      <c r="G69" s="2"/>
      <c r="H69" s="113" t="s">
        <v>83</v>
      </c>
      <c r="I69" s="113" t="s">
        <v>31</v>
      </c>
      <c r="J69" s="113" t="s">
        <v>32</v>
      </c>
      <c r="K69" s="113" t="s">
        <v>96</v>
      </c>
      <c r="L69" s="113" t="s">
        <v>94</v>
      </c>
      <c r="M69" s="319" t="s">
        <v>83</v>
      </c>
      <c r="N69" s="113" t="s">
        <v>31</v>
      </c>
      <c r="O69" s="113" t="s">
        <v>32</v>
      </c>
      <c r="P69" s="113" t="s">
        <v>96</v>
      </c>
      <c r="Q69" s="113" t="s">
        <v>94</v>
      </c>
      <c r="R69" s="113"/>
      <c r="S69" s="49"/>
      <c r="T69" s="321"/>
      <c r="V69" s="1231"/>
      <c r="W69" s="1232"/>
      <c r="X69" s="1174"/>
    </row>
    <row r="70" spans="1:24" ht="11.15" customHeight="1">
      <c r="A70" s="2"/>
      <c r="B70" s="13"/>
      <c r="C70" s="2"/>
      <c r="D70" s="734"/>
      <c r="E70" s="734"/>
      <c r="F70" s="740" t="s">
        <v>201</v>
      </c>
      <c r="G70" s="2"/>
      <c r="H70" s="397"/>
      <c r="I70" s="398"/>
      <c r="J70" s="399"/>
      <c r="K70" s="400"/>
      <c r="L70" s="337">
        <f>IFERROR($E$67*H70*I70/J70*K70,0)</f>
        <v>0</v>
      </c>
      <c r="M70" s="402"/>
      <c r="N70" s="398"/>
      <c r="O70" s="399"/>
      <c r="P70" s="400"/>
      <c r="Q70" s="115">
        <f>IFERROR($E$67*M70*N70/O70*P70,0)</f>
        <v>0</v>
      </c>
      <c r="R70" s="342"/>
      <c r="S70" s="49"/>
      <c r="T70" s="321"/>
      <c r="V70" s="1200"/>
      <c r="W70" s="1201"/>
      <c r="X70" s="1202"/>
    </row>
    <row r="71" spans="1:24" ht="11.15" customHeight="1">
      <c r="B71" s="13"/>
      <c r="C71" s="2"/>
      <c r="D71" s="735"/>
      <c r="E71" s="735"/>
      <c r="F71" s="741" t="s">
        <v>202</v>
      </c>
      <c r="G71" s="2"/>
      <c r="H71" s="401"/>
      <c r="I71" s="398"/>
      <c r="J71" s="399"/>
      <c r="K71" s="400"/>
      <c r="L71" s="337">
        <f>IFERROR($E$67*H71*I71/J71*K71,0)</f>
        <v>0</v>
      </c>
      <c r="M71" s="403"/>
      <c r="N71" s="398"/>
      <c r="O71" s="399"/>
      <c r="P71" s="400"/>
      <c r="Q71" s="115">
        <f t="shared" ref="Q71:Q81" si="0">IFERROR($E$67*M71*N71/O71*P71,0)</f>
        <v>0</v>
      </c>
      <c r="R71" s="342"/>
      <c r="S71" s="49"/>
      <c r="T71" s="321"/>
      <c r="V71" s="1200"/>
      <c r="W71" s="1201"/>
      <c r="X71" s="1202"/>
    </row>
    <row r="72" spans="1:24" ht="11.5" customHeight="1">
      <c r="B72" s="13"/>
      <c r="C72" s="2"/>
      <c r="D72" s="735"/>
      <c r="E72" s="735"/>
      <c r="F72" s="741" t="s">
        <v>203</v>
      </c>
      <c r="G72" s="2"/>
      <c r="H72" s="401"/>
      <c r="I72" s="398"/>
      <c r="J72" s="399"/>
      <c r="K72" s="400"/>
      <c r="L72" s="337">
        <f>IFERROR($E$67*H72*I72/J72*K72,0)</f>
        <v>0</v>
      </c>
      <c r="M72" s="403"/>
      <c r="N72" s="398"/>
      <c r="O72" s="399"/>
      <c r="P72" s="400"/>
      <c r="Q72" s="115">
        <f t="shared" si="0"/>
        <v>0</v>
      </c>
      <c r="R72" s="342"/>
      <c r="S72" s="49"/>
      <c r="T72" s="321"/>
      <c r="V72" s="1200"/>
      <c r="W72" s="1201"/>
      <c r="X72" s="1202"/>
    </row>
    <row r="73" spans="1:24">
      <c r="B73" s="13"/>
      <c r="C73" s="2"/>
      <c r="D73" s="735"/>
      <c r="E73" s="735"/>
      <c r="F73" s="741"/>
      <c r="G73" s="2"/>
      <c r="H73" s="401"/>
      <c r="I73" s="398"/>
      <c r="J73" s="399"/>
      <c r="K73" s="400"/>
      <c r="L73" s="337">
        <f t="shared" ref="L73:L81" si="1">IFERROR($E$67*H73*I73/J73*K73,0)</f>
        <v>0</v>
      </c>
      <c r="M73" s="403"/>
      <c r="N73" s="398"/>
      <c r="O73" s="399"/>
      <c r="P73" s="400"/>
      <c r="Q73" s="115">
        <f t="shared" si="0"/>
        <v>0</v>
      </c>
      <c r="R73" s="342"/>
      <c r="S73" s="49"/>
      <c r="T73" s="321"/>
      <c r="V73" s="1200"/>
      <c r="W73" s="1201"/>
      <c r="X73" s="1202"/>
    </row>
    <row r="74" spans="1:24">
      <c r="B74" s="13"/>
      <c r="C74" s="2"/>
      <c r="D74" s="736"/>
      <c r="E74" s="737"/>
      <c r="F74" s="741"/>
      <c r="G74" s="2"/>
      <c r="H74" s="401"/>
      <c r="I74" s="398"/>
      <c r="J74" s="399"/>
      <c r="K74" s="400"/>
      <c r="L74" s="337">
        <f t="shared" si="1"/>
        <v>0</v>
      </c>
      <c r="M74" s="403"/>
      <c r="N74" s="398"/>
      <c r="O74" s="399"/>
      <c r="P74" s="400"/>
      <c r="Q74" s="115">
        <f t="shared" si="0"/>
        <v>0</v>
      </c>
      <c r="R74" s="342"/>
      <c r="S74" s="49"/>
      <c r="T74" s="321"/>
      <c r="V74" s="1200"/>
      <c r="W74" s="1201"/>
      <c r="X74" s="1202"/>
    </row>
    <row r="75" spans="1:24">
      <c r="B75" s="13"/>
      <c r="C75" s="2"/>
      <c r="D75" s="736"/>
      <c r="E75" s="737"/>
      <c r="F75" s="741"/>
      <c r="G75" s="2"/>
      <c r="H75" s="401"/>
      <c r="I75" s="398"/>
      <c r="J75" s="399"/>
      <c r="K75" s="400"/>
      <c r="L75" s="337">
        <f t="shared" si="1"/>
        <v>0</v>
      </c>
      <c r="M75" s="403"/>
      <c r="N75" s="398"/>
      <c r="O75" s="399"/>
      <c r="P75" s="400"/>
      <c r="Q75" s="115">
        <f t="shared" si="0"/>
        <v>0</v>
      </c>
      <c r="R75" s="342"/>
      <c r="S75" s="49"/>
      <c r="T75" s="321"/>
      <c r="V75" s="1200"/>
      <c r="W75" s="1201"/>
      <c r="X75" s="1202"/>
    </row>
    <row r="76" spans="1:24">
      <c r="B76" s="13"/>
      <c r="C76" s="2"/>
      <c r="D76" s="736"/>
      <c r="E76" s="737"/>
      <c r="F76" s="741"/>
      <c r="G76" s="2"/>
      <c r="H76" s="401"/>
      <c r="I76" s="398"/>
      <c r="J76" s="399"/>
      <c r="K76" s="400"/>
      <c r="L76" s="337">
        <f t="shared" si="1"/>
        <v>0</v>
      </c>
      <c r="M76" s="403"/>
      <c r="N76" s="398"/>
      <c r="O76" s="399"/>
      <c r="P76" s="400"/>
      <c r="Q76" s="115">
        <f t="shared" si="0"/>
        <v>0</v>
      </c>
      <c r="R76" s="342"/>
      <c r="S76" s="49"/>
      <c r="T76" s="321"/>
      <c r="V76" s="1200"/>
      <c r="W76" s="1201"/>
      <c r="X76" s="1202"/>
    </row>
    <row r="77" spans="1:24">
      <c r="B77" s="13"/>
      <c r="C77" s="2"/>
      <c r="D77" s="736"/>
      <c r="E77" s="737"/>
      <c r="F77" s="741"/>
      <c r="G77" s="2"/>
      <c r="H77" s="401"/>
      <c r="I77" s="398"/>
      <c r="J77" s="399"/>
      <c r="K77" s="400"/>
      <c r="L77" s="337">
        <f t="shared" si="1"/>
        <v>0</v>
      </c>
      <c r="M77" s="403"/>
      <c r="N77" s="398"/>
      <c r="O77" s="399"/>
      <c r="P77" s="400"/>
      <c r="Q77" s="115">
        <f t="shared" si="0"/>
        <v>0</v>
      </c>
      <c r="R77" s="342"/>
      <c r="S77" s="49"/>
      <c r="T77" s="321"/>
      <c r="V77" s="1200"/>
      <c r="W77" s="1201"/>
      <c r="X77" s="1202"/>
    </row>
    <row r="78" spans="1:24">
      <c r="B78" s="13"/>
      <c r="C78" s="2"/>
      <c r="D78" s="736"/>
      <c r="E78" s="737"/>
      <c r="F78" s="741"/>
      <c r="G78" s="2"/>
      <c r="H78" s="401"/>
      <c r="I78" s="398"/>
      <c r="J78" s="399"/>
      <c r="K78" s="400"/>
      <c r="L78" s="337">
        <f t="shared" si="1"/>
        <v>0</v>
      </c>
      <c r="M78" s="403"/>
      <c r="N78" s="398"/>
      <c r="O78" s="399"/>
      <c r="P78" s="400"/>
      <c r="Q78" s="115">
        <f t="shared" si="0"/>
        <v>0</v>
      </c>
      <c r="R78" s="342"/>
      <c r="S78" s="49"/>
      <c r="T78" s="321"/>
      <c r="V78" s="1200"/>
      <c r="W78" s="1201"/>
      <c r="X78" s="1202"/>
    </row>
    <row r="79" spans="1:24">
      <c r="B79" s="13"/>
      <c r="C79" s="2"/>
      <c r="D79" s="736"/>
      <c r="E79" s="737"/>
      <c r="F79" s="741"/>
      <c r="G79" s="2"/>
      <c r="H79" s="401"/>
      <c r="I79" s="398"/>
      <c r="J79" s="399"/>
      <c r="K79" s="400"/>
      <c r="L79" s="337">
        <f t="shared" si="1"/>
        <v>0</v>
      </c>
      <c r="M79" s="403"/>
      <c r="N79" s="398"/>
      <c r="O79" s="399"/>
      <c r="P79" s="400"/>
      <c r="Q79" s="115">
        <f t="shared" si="0"/>
        <v>0</v>
      </c>
      <c r="R79" s="342"/>
      <c r="S79" s="49"/>
      <c r="T79" s="321"/>
      <c r="V79" s="1200"/>
      <c r="W79" s="1201"/>
      <c r="X79" s="1202"/>
    </row>
    <row r="80" spans="1:24">
      <c r="B80" s="13"/>
      <c r="C80" s="2"/>
      <c r="D80" s="736"/>
      <c r="E80" s="737"/>
      <c r="F80" s="741"/>
      <c r="G80" s="2"/>
      <c r="H80" s="401"/>
      <c r="I80" s="398"/>
      <c r="J80" s="399"/>
      <c r="K80" s="400"/>
      <c r="L80" s="337">
        <f t="shared" si="1"/>
        <v>0</v>
      </c>
      <c r="M80" s="403"/>
      <c r="N80" s="398"/>
      <c r="O80" s="399"/>
      <c r="P80" s="400"/>
      <c r="Q80" s="115">
        <f t="shared" si="0"/>
        <v>0</v>
      </c>
      <c r="R80" s="342"/>
      <c r="S80" s="49"/>
      <c r="T80" s="321"/>
      <c r="V80" s="1200"/>
      <c r="W80" s="1201"/>
      <c r="X80" s="1202"/>
    </row>
    <row r="81" spans="1:24">
      <c r="B81" s="13"/>
      <c r="C81" s="2"/>
      <c r="D81" s="738"/>
      <c r="E81" s="739"/>
      <c r="F81" s="742"/>
      <c r="G81" s="2"/>
      <c r="H81" s="401"/>
      <c r="I81" s="398"/>
      <c r="J81" s="399"/>
      <c r="K81" s="400"/>
      <c r="L81" s="337">
        <f t="shared" si="1"/>
        <v>0</v>
      </c>
      <c r="M81" s="403"/>
      <c r="N81" s="398"/>
      <c r="O81" s="399"/>
      <c r="P81" s="400"/>
      <c r="Q81" s="115">
        <f t="shared" si="0"/>
        <v>0</v>
      </c>
      <c r="R81" s="342"/>
      <c r="S81" s="49"/>
      <c r="T81" s="321"/>
      <c r="V81" s="1200"/>
      <c r="W81" s="1201"/>
      <c r="X81" s="1202"/>
    </row>
    <row r="82" spans="1:24">
      <c r="B82" s="13"/>
      <c r="C82" s="2"/>
      <c r="D82" s="2"/>
      <c r="E82" s="2"/>
      <c r="F82" s="2"/>
      <c r="G82" s="2"/>
      <c r="H82" s="49"/>
      <c r="I82" s="2"/>
      <c r="J82" s="49"/>
      <c r="L82" s="49"/>
      <c r="M82" s="335"/>
      <c r="N82" s="49"/>
      <c r="O82" s="49"/>
      <c r="P82" s="49"/>
      <c r="Q82" s="49"/>
      <c r="R82" s="49"/>
      <c r="S82" s="208" t="s">
        <v>99</v>
      </c>
      <c r="T82" s="321"/>
      <c r="V82" s="1231"/>
      <c r="W82" s="1232"/>
      <c r="X82" s="1174"/>
    </row>
    <row r="83" spans="1:24" ht="12" customHeight="1">
      <c r="B83" s="13"/>
      <c r="C83" s="2"/>
      <c r="D83" s="236" t="s">
        <v>182</v>
      </c>
      <c r="E83" s="2"/>
      <c r="F83" s="2"/>
      <c r="G83" s="2"/>
      <c r="H83" s="49"/>
      <c r="I83" s="2"/>
      <c r="K83" s="116" t="s">
        <v>196</v>
      </c>
      <c r="L83" s="412"/>
      <c r="M83" s="336"/>
      <c r="N83" s="1"/>
      <c r="O83" s="1"/>
      <c r="P83" s="116" t="s">
        <v>196</v>
      </c>
      <c r="Q83" s="413"/>
      <c r="R83" s="343"/>
      <c r="S83" s="208" t="s">
        <v>98</v>
      </c>
      <c r="T83" s="321"/>
      <c r="V83" s="1231"/>
      <c r="W83" s="1232"/>
      <c r="X83" s="1174"/>
    </row>
    <row r="84" spans="1:24" ht="12" customHeight="1">
      <c r="B84" s="13"/>
      <c r="C84" s="2"/>
      <c r="D84" s="236" t="s">
        <v>183</v>
      </c>
      <c r="E84" s="408"/>
      <c r="F84" s="2"/>
      <c r="G84" s="2"/>
      <c r="H84" s="49"/>
      <c r="I84" s="2"/>
      <c r="J84" s="49"/>
      <c r="K84" s="435" t="s">
        <v>26</v>
      </c>
      <c r="L84" s="334">
        <f>IF(L83=0,SUM(L70:L81),L83)</f>
        <v>0</v>
      </c>
      <c r="M84" s="336"/>
      <c r="N84" s="1"/>
      <c r="O84" s="1"/>
      <c r="P84" s="435" t="s">
        <v>26</v>
      </c>
      <c r="Q84" s="118">
        <f>IF(Q83=0,SUM(Q70:Q81),Q83)</f>
        <v>0</v>
      </c>
      <c r="R84" s="344"/>
      <c r="S84" s="118">
        <f>L84+Q84*'HAW-Kennwerte'!$R$30</f>
        <v>0</v>
      </c>
      <c r="T84" s="321"/>
      <c r="V84" s="1200"/>
      <c r="W84" s="1201"/>
      <c r="X84" s="1202"/>
    </row>
    <row r="85" spans="1:24" ht="10.5">
      <c r="B85" s="13"/>
      <c r="C85" s="2"/>
      <c r="D85" s="2"/>
      <c r="E85" s="2"/>
      <c r="F85" s="2"/>
      <c r="G85" s="2"/>
      <c r="H85" s="49"/>
      <c r="I85" s="2"/>
      <c r="J85" s="49"/>
      <c r="K85" s="242"/>
      <c r="L85" s="2"/>
      <c r="M85" s="336"/>
      <c r="N85" s="1"/>
      <c r="O85" s="1"/>
      <c r="P85" s="49"/>
      <c r="Q85" s="242"/>
      <c r="R85" s="242"/>
      <c r="S85" s="242"/>
      <c r="T85" s="321"/>
      <c r="V85" s="1231"/>
      <c r="W85" s="1232"/>
      <c r="X85" s="1174"/>
    </row>
    <row r="86" spans="1:24" ht="12" customHeight="1">
      <c r="B86" s="13"/>
      <c r="C86" s="2"/>
      <c r="D86" s="716" t="s">
        <v>194</v>
      </c>
      <c r="E86" s="745" t="s">
        <v>195</v>
      </c>
      <c r="F86" s="2"/>
      <c r="G86" s="2"/>
      <c r="I86" s="2"/>
      <c r="J86" s="208"/>
      <c r="K86" s="242"/>
      <c r="L86" s="204"/>
      <c r="M86" s="204"/>
      <c r="N86" s="203"/>
      <c r="O86" s="203"/>
      <c r="P86" s="791"/>
      <c r="Q86" s="202"/>
      <c r="R86" s="607"/>
      <c r="S86" s="607"/>
      <c r="T86" s="321"/>
      <c r="V86" s="1231"/>
      <c r="W86" s="1232"/>
      <c r="X86" s="1174"/>
    </row>
    <row r="87" spans="1:24" ht="12" customHeight="1">
      <c r="B87" s="13"/>
      <c r="C87" s="2"/>
      <c r="D87" s="2"/>
      <c r="E87" s="2"/>
      <c r="F87" s="2"/>
      <c r="G87" s="2"/>
      <c r="H87" s="49"/>
      <c r="I87" s="2"/>
      <c r="J87" s="202"/>
      <c r="K87" s="206">
        <f>IF($Q$87&gt;2023,$Q$87-6,"")</f>
        <v>2019</v>
      </c>
      <c r="L87" s="206">
        <f>IF($Q$87&gt;2023,$Q$87-5,"")</f>
        <v>2020</v>
      </c>
      <c r="M87" s="206">
        <f>IF($Q$87&gt;2023,$Q$87-4,"")</f>
        <v>2021</v>
      </c>
      <c r="N87" s="206">
        <f>IF($Q$87&gt;2023,$Q$87-3,"")</f>
        <v>2022</v>
      </c>
      <c r="O87" s="206">
        <f>IF($Q$87&gt;2023,$Q$87-2,"")</f>
        <v>2023</v>
      </c>
      <c r="P87" s="206">
        <f>IF($Q$87&gt;2023,$Q$87-1,"")</f>
        <v>2024</v>
      </c>
      <c r="Q87" s="717">
        <v>2025</v>
      </c>
      <c r="R87" s="50"/>
      <c r="S87" s="202"/>
      <c r="T87" s="321"/>
      <c r="V87" s="1231"/>
      <c r="W87" s="1232"/>
      <c r="X87" s="1174"/>
    </row>
    <row r="88" spans="1:24" ht="12" customHeight="1">
      <c r="B88" s="13"/>
      <c r="C88" s="2"/>
      <c r="D88" s="2"/>
      <c r="E88" s="2"/>
      <c r="F88" s="2"/>
      <c r="G88" s="2"/>
      <c r="H88" s="49"/>
      <c r="I88" s="2"/>
      <c r="J88" s="435" t="s">
        <v>245</v>
      </c>
      <c r="K88" s="816"/>
      <c r="L88" s="816"/>
      <c r="M88" s="816"/>
      <c r="N88" s="816"/>
      <c r="O88" s="816"/>
      <c r="P88" s="816"/>
      <c r="Q88" s="816"/>
      <c r="R88" s="50"/>
      <c r="S88" s="744">
        <f>IF(S89&gt;0,IF(S89&gt;1,0,S89),IFERROR(IF((K88*3+L88*4+M88*5+N88*6+O88*7+P88*8+Q88*9)/42&gt;1,1,(K88*3+L88*4+M88*5+N88*6+O88*7+P88*8+Q88*9)/42),""))</f>
        <v>0</v>
      </c>
      <c r="T88" s="321"/>
      <c r="V88" s="1233"/>
      <c r="W88" s="1234"/>
      <c r="X88" s="1235"/>
    </row>
    <row r="89" spans="1:24" ht="12" customHeight="1">
      <c r="B89" s="13"/>
      <c r="C89" s="2"/>
      <c r="D89" s="2"/>
      <c r="E89" s="2"/>
      <c r="F89" s="2"/>
      <c r="G89" s="2"/>
      <c r="H89" s="49"/>
      <c r="I89" s="2"/>
      <c r="J89" s="208"/>
      <c r="K89" s="743" t="s">
        <v>246</v>
      </c>
      <c r="L89" s="203"/>
      <c r="M89" s="203"/>
      <c r="N89" s="203"/>
      <c r="O89" s="203"/>
      <c r="P89" s="607"/>
      <c r="Q89" s="202"/>
      <c r="R89" s="50"/>
      <c r="S89" s="1187"/>
      <c r="T89" s="321"/>
    </row>
    <row r="90" spans="1:24">
      <c r="B90" s="45"/>
      <c r="C90" s="46"/>
      <c r="D90" s="46"/>
      <c r="E90" s="46"/>
      <c r="F90" s="46"/>
      <c r="G90" s="46"/>
      <c r="H90" s="46"/>
      <c r="I90" s="46"/>
      <c r="J90" s="119"/>
      <c r="K90" s="46"/>
      <c r="L90" s="119"/>
      <c r="M90" s="46"/>
      <c r="N90" s="119"/>
      <c r="O90" s="230"/>
      <c r="P90" s="119"/>
      <c r="Q90" s="119"/>
      <c r="R90" s="119"/>
      <c r="S90" s="119"/>
      <c r="T90" s="322"/>
    </row>
    <row r="91" spans="1:24">
      <c r="B91" s="12" t="s">
        <v>100</v>
      </c>
      <c r="H91" s="2"/>
      <c r="I91" s="2"/>
      <c r="J91" s="49"/>
      <c r="K91" s="2"/>
      <c r="L91" s="49"/>
      <c r="M91" s="2"/>
      <c r="N91" s="49"/>
      <c r="O91" s="49"/>
      <c r="P91" s="49"/>
      <c r="Q91" s="49"/>
      <c r="R91" s="49"/>
      <c r="S91" s="49"/>
      <c r="T91" s="121"/>
    </row>
    <row r="92" spans="1:24">
      <c r="A92" s="106"/>
      <c r="B92" s="209" t="s">
        <v>68</v>
      </c>
      <c r="C92" s="106"/>
      <c r="D92" s="106"/>
      <c r="E92" s="106"/>
      <c r="F92" s="106"/>
      <c r="G92" s="106"/>
      <c r="H92" s="106"/>
      <c r="I92" s="106"/>
      <c r="J92" s="107"/>
      <c r="K92" s="106"/>
      <c r="L92" s="107"/>
      <c r="M92" s="106"/>
      <c r="N92" s="107"/>
      <c r="O92" s="107"/>
      <c r="P92" s="107"/>
      <c r="Q92" s="107"/>
      <c r="R92" s="107"/>
      <c r="S92" s="107"/>
      <c r="T92" s="107"/>
    </row>
    <row r="93" spans="1:24">
      <c r="Q93" s="201"/>
      <c r="R93" s="201"/>
      <c r="S93" s="201" t="str">
        <f>HAW!B28</f>
        <v>Kennwertverfahren NRW für HAW; HIS-Institut für Hochschulentwicklung e.V. (24.04.2026)</v>
      </c>
      <c r="T93" s="201"/>
    </row>
    <row r="95" spans="1:24">
      <c r="B95" s="229"/>
      <c r="C95" s="202"/>
    </row>
    <row r="96" spans="1:24" ht="10.5">
      <c r="B96" s="794" t="str">
        <f>IF(B8=0,B7,CONCATENATE(B7,B8))</f>
        <v>Hochschule …</v>
      </c>
      <c r="C96" s="795"/>
      <c r="D96" s="795"/>
      <c r="E96" s="795"/>
      <c r="F96" s="795"/>
      <c r="G96" s="795"/>
      <c r="H96" s="795"/>
      <c r="I96" s="795"/>
      <c r="J96" s="796"/>
      <c r="K96" s="795"/>
      <c r="L96" s="796"/>
      <c r="M96" s="795"/>
      <c r="N96" s="796"/>
      <c r="O96" s="796"/>
      <c r="P96" s="796"/>
      <c r="Q96" s="796"/>
      <c r="R96" s="796"/>
      <c r="S96" s="796"/>
    </row>
    <row r="97" spans="2:19">
      <c r="B97" s="795" t="str">
        <f>B9</f>
        <v>[Fakultät/Fachbereich]</v>
      </c>
      <c r="C97" s="795"/>
      <c r="D97" s="795"/>
      <c r="E97" s="795"/>
      <c r="F97" s="795"/>
      <c r="G97" s="795"/>
      <c r="H97" s="795"/>
      <c r="I97" s="795"/>
      <c r="J97" s="796"/>
      <c r="K97" s="795"/>
      <c r="L97" s="796"/>
      <c r="M97" s="795"/>
      <c r="N97" s="796"/>
      <c r="O97" s="796"/>
      <c r="P97" s="796"/>
      <c r="Q97" s="796"/>
      <c r="R97" s="796"/>
      <c r="S97" s="796"/>
    </row>
    <row r="98" spans="2:19">
      <c r="B98" s="795" t="str">
        <f>B10</f>
        <v>[Department, Institut o.a.]</v>
      </c>
      <c r="C98" s="795"/>
      <c r="D98" s="795"/>
      <c r="E98" s="795"/>
      <c r="F98" s="795"/>
      <c r="G98" s="795"/>
      <c r="H98" s="795"/>
      <c r="I98" s="795"/>
      <c r="J98" s="796"/>
      <c r="K98" s="795"/>
      <c r="L98" s="796"/>
      <c r="M98" s="795"/>
      <c r="N98" s="796"/>
      <c r="O98" s="796"/>
      <c r="P98" s="796"/>
      <c r="Q98" s="796"/>
      <c r="R98" s="796"/>
      <c r="S98" s="796"/>
    </row>
    <row r="99" spans="2:19">
      <c r="B99" s="795" t="str">
        <f>CONCATENATE(B12,": ",B13)</f>
        <v>Lehr- und Forschungsbereich: Sozial- und Erziehungswissenschaften</v>
      </c>
      <c r="C99" s="795"/>
      <c r="D99" s="795"/>
      <c r="E99" s="795"/>
      <c r="F99" s="795"/>
      <c r="G99" s="795"/>
      <c r="H99" s="795"/>
      <c r="I99" s="795"/>
      <c r="J99" s="796"/>
      <c r="K99" s="795"/>
      <c r="L99" s="796"/>
      <c r="M99" s="795"/>
      <c r="N99" s="796"/>
      <c r="O99" s="796"/>
      <c r="P99" s="796"/>
      <c r="Q99" s="796"/>
      <c r="R99" s="796"/>
      <c r="S99" s="796"/>
    </row>
    <row r="100" spans="2:19">
      <c r="B100" s="202"/>
      <c r="C100" s="202"/>
      <c r="D100" s="202"/>
      <c r="E100" s="202"/>
      <c r="F100" s="202"/>
      <c r="G100" s="202"/>
      <c r="H100" s="202"/>
      <c r="I100" s="202"/>
      <c r="J100" s="607"/>
      <c r="K100" s="202"/>
      <c r="L100" s="607"/>
      <c r="M100" s="202"/>
      <c r="N100" s="607"/>
      <c r="O100" s="607"/>
      <c r="P100" s="607"/>
      <c r="Q100" s="607"/>
      <c r="R100" s="607"/>
      <c r="S100" s="607"/>
    </row>
    <row r="101" spans="2:19">
      <c r="B101" s="110" t="s">
        <v>235</v>
      </c>
      <c r="C101" s="206"/>
      <c r="D101" s="206"/>
      <c r="E101" s="206"/>
      <c r="F101" s="206"/>
      <c r="G101" s="206"/>
      <c r="H101" s="206"/>
      <c r="I101" s="206"/>
      <c r="J101" s="208"/>
      <c r="K101" s="206"/>
      <c r="L101" s="208"/>
      <c r="M101" s="206"/>
      <c r="N101" s="208"/>
      <c r="O101" s="208"/>
      <c r="P101" s="208"/>
      <c r="Q101" s="208"/>
      <c r="R101" s="208"/>
      <c r="S101" s="208"/>
    </row>
    <row r="102" spans="2:19">
      <c r="B102" s="909"/>
      <c r="C102" s="910"/>
      <c r="D102" s="910"/>
      <c r="E102" s="910"/>
      <c r="F102" s="910"/>
      <c r="G102" s="910"/>
      <c r="H102" s="910"/>
      <c r="I102" s="910"/>
      <c r="J102" s="544"/>
      <c r="K102" s="910"/>
      <c r="L102" s="544"/>
      <c r="M102" s="910"/>
      <c r="N102" s="544"/>
      <c r="O102" s="544"/>
      <c r="P102" s="544"/>
      <c r="Q102" s="544"/>
      <c r="R102" s="544"/>
      <c r="S102" s="1173"/>
    </row>
    <row r="103" spans="2:19" ht="10.5">
      <c r="B103" s="210"/>
      <c r="C103" s="206"/>
      <c r="D103" s="206"/>
      <c r="E103" s="206"/>
      <c r="F103" s="206"/>
      <c r="G103" s="1166" t="s">
        <v>249</v>
      </c>
      <c r="H103" s="797">
        <f>SUM(H107:H156)</f>
        <v>0</v>
      </c>
      <c r="I103" s="206"/>
      <c r="J103" s="208"/>
      <c r="K103" s="206"/>
      <c r="L103" s="208"/>
      <c r="M103" s="206"/>
      <c r="N103" s="208"/>
      <c r="O103" s="1166" t="s">
        <v>265</v>
      </c>
      <c r="P103" s="1353">
        <f>SUMPRODUCT(H107:H156,P107:P156)+SUMPRODUCT(H107:H156,Q107:Q156)</f>
        <v>0</v>
      </c>
      <c r="Q103" s="1354"/>
      <c r="R103" s="208"/>
      <c r="S103" s="1174"/>
    </row>
    <row r="104" spans="2:19">
      <c r="B104" s="210"/>
      <c r="C104" s="206"/>
      <c r="D104" s="206"/>
      <c r="E104" s="206"/>
      <c r="F104" s="206"/>
      <c r="G104" s="207"/>
      <c r="H104" s="798"/>
      <c r="I104" s="206"/>
      <c r="J104" s="208"/>
      <c r="K104" s="206"/>
      <c r="L104" s="208"/>
      <c r="M104" s="206"/>
      <c r="N104" s="208"/>
      <c r="O104" s="207"/>
      <c r="P104" s="799" t="str">
        <f>IF($P103=0,"",SUMPRODUCT($H107:$H156,P107:P156)/$P103)</f>
        <v/>
      </c>
      <c r="Q104" s="799" t="str">
        <f>IF($P103=0,"",SUMPRODUCT($H107:$H156,Q107:Q156)/$P103)</f>
        <v/>
      </c>
      <c r="R104" s="208"/>
      <c r="S104" s="1174"/>
    </row>
    <row r="105" spans="2:19" ht="10.5">
      <c r="B105" s="210"/>
      <c r="C105" s="206"/>
      <c r="D105" s="206"/>
      <c r="E105" s="206"/>
      <c r="F105" s="206"/>
      <c r="G105" s="206"/>
      <c r="H105" s="206"/>
      <c r="I105" s="206"/>
      <c r="J105" s="208"/>
      <c r="K105" s="206"/>
      <c r="L105" s="208"/>
      <c r="M105" s="206"/>
      <c r="N105" s="208"/>
      <c r="O105" s="208"/>
      <c r="P105" s="1355"/>
      <c r="Q105" s="1355"/>
      <c r="R105" s="208"/>
      <c r="S105" s="1174"/>
    </row>
    <row r="106" spans="2:19" ht="10.5">
      <c r="B106" s="1175" t="s">
        <v>250</v>
      </c>
      <c r="C106" s="800" t="s">
        <v>251</v>
      </c>
      <c r="D106" s="238"/>
      <c r="E106" s="238"/>
      <c r="F106" s="238"/>
      <c r="G106" s="238"/>
      <c r="H106" s="239" t="s">
        <v>252</v>
      </c>
      <c r="I106" s="238" t="s">
        <v>253</v>
      </c>
      <c r="J106" s="238"/>
      <c r="K106" s="239"/>
      <c r="L106" s="238"/>
      <c r="M106" s="239"/>
      <c r="N106" s="208"/>
      <c r="O106" s="801" t="s">
        <v>88</v>
      </c>
      <c r="P106" s="239" t="s">
        <v>84</v>
      </c>
      <c r="Q106" s="239" t="s">
        <v>85</v>
      </c>
      <c r="R106" s="208"/>
      <c r="S106" s="1174"/>
    </row>
    <row r="107" spans="2:19">
      <c r="B107" s="210" t="str">
        <f>IF(COUNTA(C107)=1,1,"")</f>
        <v/>
      </c>
      <c r="C107" s="802"/>
      <c r="D107" s="803"/>
      <c r="E107" s="803"/>
      <c r="F107" s="803"/>
      <c r="G107" s="803"/>
      <c r="H107" s="804"/>
      <c r="I107" s="802"/>
      <c r="J107" s="803"/>
      <c r="K107" s="803"/>
      <c r="L107" s="803"/>
      <c r="M107" s="803"/>
      <c r="N107" s="803"/>
      <c r="O107" s="805"/>
      <c r="P107" s="806"/>
      <c r="Q107" s="806"/>
      <c r="R107" s="807">
        <f>SUM(O107:Q107)</f>
        <v>0</v>
      </c>
      <c r="S107" s="1174"/>
    </row>
    <row r="108" spans="2:19">
      <c r="B108" s="210" t="str">
        <f>IF(COUNTA(C108)=1,MAX(B$107:B107)+1,"")</f>
        <v/>
      </c>
      <c r="C108" s="808"/>
      <c r="D108" s="809"/>
      <c r="E108" s="809"/>
      <c r="F108" s="809"/>
      <c r="G108" s="809"/>
      <c r="H108" s="810"/>
      <c r="I108" s="808"/>
      <c r="J108" s="809"/>
      <c r="K108" s="809"/>
      <c r="L108" s="809"/>
      <c r="M108" s="809"/>
      <c r="N108" s="809"/>
      <c r="O108" s="811"/>
      <c r="P108" s="812"/>
      <c r="Q108" s="812"/>
      <c r="R108" s="807">
        <f t="shared" ref="R108:R156" si="2">SUM(O108:Q108)</f>
        <v>0</v>
      </c>
      <c r="S108" s="1174"/>
    </row>
    <row r="109" spans="2:19">
      <c r="B109" s="210" t="str">
        <f>IF(COUNTA(C109)=1,MAX(B$107:B108)+1,"")</f>
        <v/>
      </c>
      <c r="C109" s="808"/>
      <c r="D109" s="809"/>
      <c r="E109" s="809"/>
      <c r="F109" s="809"/>
      <c r="G109" s="809"/>
      <c r="H109" s="810"/>
      <c r="I109" s="808"/>
      <c r="J109" s="809"/>
      <c r="K109" s="809"/>
      <c r="L109" s="809"/>
      <c r="M109" s="809"/>
      <c r="N109" s="809"/>
      <c r="O109" s="811"/>
      <c r="P109" s="812"/>
      <c r="Q109" s="812"/>
      <c r="R109" s="807">
        <f t="shared" si="2"/>
        <v>0</v>
      </c>
      <c r="S109" s="1174"/>
    </row>
    <row r="110" spans="2:19">
      <c r="B110" s="210" t="str">
        <f>IF(COUNTA(C110)=1,MAX(B$107:B109)+1,"")</f>
        <v/>
      </c>
      <c r="C110" s="808"/>
      <c r="D110" s="809"/>
      <c r="E110" s="809"/>
      <c r="F110" s="809"/>
      <c r="G110" s="809"/>
      <c r="H110" s="810"/>
      <c r="I110" s="808"/>
      <c r="J110" s="809"/>
      <c r="K110" s="809"/>
      <c r="L110" s="809"/>
      <c r="M110" s="809"/>
      <c r="N110" s="809"/>
      <c r="O110" s="811"/>
      <c r="P110" s="812"/>
      <c r="Q110" s="812"/>
      <c r="R110" s="807">
        <f t="shared" si="2"/>
        <v>0</v>
      </c>
      <c r="S110" s="1174"/>
    </row>
    <row r="111" spans="2:19">
      <c r="B111" s="210" t="str">
        <f>IF(COUNTA(C111)=1,MAX(B$107:B110)+1,"")</f>
        <v/>
      </c>
      <c r="C111" s="808"/>
      <c r="D111" s="809"/>
      <c r="E111" s="809"/>
      <c r="F111" s="809"/>
      <c r="G111" s="809"/>
      <c r="H111" s="810"/>
      <c r="I111" s="808"/>
      <c r="J111" s="809"/>
      <c r="K111" s="809"/>
      <c r="L111" s="809"/>
      <c r="M111" s="809"/>
      <c r="N111" s="809"/>
      <c r="O111" s="811"/>
      <c r="P111" s="812"/>
      <c r="Q111" s="812"/>
      <c r="R111" s="807">
        <f t="shared" si="2"/>
        <v>0</v>
      </c>
      <c r="S111" s="1174"/>
    </row>
    <row r="112" spans="2:19">
      <c r="B112" s="210" t="str">
        <f>IF(COUNTA(C112)=1,MAX(B$107:B111)+1,"")</f>
        <v/>
      </c>
      <c r="C112" s="808"/>
      <c r="D112" s="809"/>
      <c r="E112" s="809"/>
      <c r="F112" s="809"/>
      <c r="G112" s="809"/>
      <c r="H112" s="810"/>
      <c r="I112" s="808"/>
      <c r="J112" s="809"/>
      <c r="K112" s="809"/>
      <c r="L112" s="809"/>
      <c r="M112" s="809"/>
      <c r="N112" s="809"/>
      <c r="O112" s="811"/>
      <c r="P112" s="812"/>
      <c r="Q112" s="812"/>
      <c r="R112" s="807">
        <f t="shared" si="2"/>
        <v>0</v>
      </c>
      <c r="S112" s="1174"/>
    </row>
    <row r="113" spans="2:19">
      <c r="B113" s="210" t="str">
        <f>IF(COUNTA(C113)=1,MAX(B$107:B112)+1,"")</f>
        <v/>
      </c>
      <c r="C113" s="808"/>
      <c r="D113" s="809"/>
      <c r="E113" s="809"/>
      <c r="F113" s="809"/>
      <c r="G113" s="809"/>
      <c r="H113" s="810"/>
      <c r="I113" s="808"/>
      <c r="J113" s="809"/>
      <c r="K113" s="809"/>
      <c r="L113" s="809"/>
      <c r="M113" s="809"/>
      <c r="N113" s="809"/>
      <c r="O113" s="811"/>
      <c r="P113" s="812"/>
      <c r="Q113" s="812"/>
      <c r="R113" s="807">
        <f t="shared" si="2"/>
        <v>0</v>
      </c>
      <c r="S113" s="1174"/>
    </row>
    <row r="114" spans="2:19">
      <c r="B114" s="210" t="str">
        <f>IF(COUNTA(C114)=1,MAX(B$107:B113)+1,"")</f>
        <v/>
      </c>
      <c r="C114" s="808"/>
      <c r="D114" s="809"/>
      <c r="E114" s="809"/>
      <c r="F114" s="809"/>
      <c r="G114" s="809"/>
      <c r="H114" s="810"/>
      <c r="I114" s="808"/>
      <c r="J114" s="809"/>
      <c r="K114" s="809"/>
      <c r="L114" s="809"/>
      <c r="M114" s="809"/>
      <c r="N114" s="809"/>
      <c r="O114" s="811"/>
      <c r="P114" s="812"/>
      <c r="Q114" s="812"/>
      <c r="R114" s="807">
        <f t="shared" si="2"/>
        <v>0</v>
      </c>
      <c r="S114" s="1174"/>
    </row>
    <row r="115" spans="2:19">
      <c r="B115" s="210" t="str">
        <f>IF(COUNTA(C115)=1,MAX(B$107:B114)+1,"")</f>
        <v/>
      </c>
      <c r="C115" s="808"/>
      <c r="D115" s="809"/>
      <c r="E115" s="809"/>
      <c r="F115" s="809"/>
      <c r="G115" s="809"/>
      <c r="H115" s="810"/>
      <c r="I115" s="808"/>
      <c r="J115" s="809"/>
      <c r="K115" s="809"/>
      <c r="L115" s="809"/>
      <c r="M115" s="809"/>
      <c r="N115" s="809"/>
      <c r="O115" s="811"/>
      <c r="P115" s="812"/>
      <c r="Q115" s="812"/>
      <c r="R115" s="807">
        <f t="shared" si="2"/>
        <v>0</v>
      </c>
      <c r="S115" s="1174"/>
    </row>
    <row r="116" spans="2:19">
      <c r="B116" s="210" t="str">
        <f>IF(COUNTA(C116)=1,MAX(B$107:B115)+1,"")</f>
        <v/>
      </c>
      <c r="C116" s="808"/>
      <c r="D116" s="809"/>
      <c r="E116" s="809"/>
      <c r="F116" s="809"/>
      <c r="G116" s="809"/>
      <c r="H116" s="810"/>
      <c r="I116" s="808"/>
      <c r="J116" s="809"/>
      <c r="K116" s="809"/>
      <c r="L116" s="809"/>
      <c r="M116" s="809"/>
      <c r="N116" s="809"/>
      <c r="O116" s="811"/>
      <c r="P116" s="812"/>
      <c r="Q116" s="812"/>
      <c r="R116" s="807">
        <f t="shared" si="2"/>
        <v>0</v>
      </c>
      <c r="S116" s="1174"/>
    </row>
    <row r="117" spans="2:19">
      <c r="B117" s="210" t="str">
        <f>IF(COUNTA(C117)=1,MAX(B$107:B116)+1,"")</f>
        <v/>
      </c>
      <c r="C117" s="808"/>
      <c r="D117" s="809"/>
      <c r="E117" s="809"/>
      <c r="F117" s="809"/>
      <c r="G117" s="809"/>
      <c r="H117" s="810"/>
      <c r="I117" s="808"/>
      <c r="J117" s="809"/>
      <c r="K117" s="809"/>
      <c r="L117" s="809"/>
      <c r="M117" s="809"/>
      <c r="N117" s="809"/>
      <c r="O117" s="811"/>
      <c r="P117" s="812"/>
      <c r="Q117" s="812"/>
      <c r="R117" s="807">
        <f t="shared" si="2"/>
        <v>0</v>
      </c>
      <c r="S117" s="1174"/>
    </row>
    <row r="118" spans="2:19">
      <c r="B118" s="210" t="str">
        <f>IF(COUNTA(C118)=1,MAX(B$107:B117)+1,"")</f>
        <v/>
      </c>
      <c r="C118" s="808"/>
      <c r="D118" s="809"/>
      <c r="E118" s="809"/>
      <c r="F118" s="809"/>
      <c r="G118" s="809"/>
      <c r="H118" s="810"/>
      <c r="I118" s="808"/>
      <c r="J118" s="809"/>
      <c r="K118" s="809"/>
      <c r="L118" s="809"/>
      <c r="M118" s="809"/>
      <c r="N118" s="809"/>
      <c r="O118" s="811"/>
      <c r="P118" s="812"/>
      <c r="Q118" s="812"/>
      <c r="R118" s="807">
        <f t="shared" si="2"/>
        <v>0</v>
      </c>
      <c r="S118" s="1174"/>
    </row>
    <row r="119" spans="2:19">
      <c r="B119" s="210" t="str">
        <f>IF(COUNTA(C119)=1,MAX(B$107:B118)+1,"")</f>
        <v/>
      </c>
      <c r="C119" s="808"/>
      <c r="D119" s="809"/>
      <c r="E119" s="809"/>
      <c r="F119" s="809"/>
      <c r="G119" s="809"/>
      <c r="H119" s="810"/>
      <c r="I119" s="808"/>
      <c r="J119" s="809"/>
      <c r="K119" s="809"/>
      <c r="L119" s="809"/>
      <c r="M119" s="809"/>
      <c r="N119" s="809"/>
      <c r="O119" s="811"/>
      <c r="P119" s="812"/>
      <c r="Q119" s="812"/>
      <c r="R119" s="807">
        <f t="shared" si="2"/>
        <v>0</v>
      </c>
      <c r="S119" s="1174"/>
    </row>
    <row r="120" spans="2:19">
      <c r="B120" s="210" t="str">
        <f>IF(COUNTA(C120)=1,MAX(B$107:B119)+1,"")</f>
        <v/>
      </c>
      <c r="C120" s="808"/>
      <c r="D120" s="809"/>
      <c r="E120" s="809"/>
      <c r="F120" s="809"/>
      <c r="G120" s="809"/>
      <c r="H120" s="810"/>
      <c r="I120" s="808"/>
      <c r="J120" s="809"/>
      <c r="K120" s="809"/>
      <c r="L120" s="809"/>
      <c r="M120" s="809"/>
      <c r="N120" s="809"/>
      <c r="O120" s="811">
        <v>0</v>
      </c>
      <c r="P120" s="812"/>
      <c r="Q120" s="812">
        <v>0</v>
      </c>
      <c r="R120" s="807">
        <f t="shared" si="2"/>
        <v>0</v>
      </c>
      <c r="S120" s="1174"/>
    </row>
    <row r="121" spans="2:19">
      <c r="B121" s="210" t="str">
        <f>IF(COUNTA(C121)=1,MAX(B$107:B120)+1,"")</f>
        <v/>
      </c>
      <c r="C121" s="808"/>
      <c r="D121" s="809"/>
      <c r="E121" s="809"/>
      <c r="F121" s="809"/>
      <c r="G121" s="809"/>
      <c r="H121" s="810"/>
      <c r="I121" s="808"/>
      <c r="J121" s="809"/>
      <c r="K121" s="809"/>
      <c r="L121" s="809"/>
      <c r="M121" s="809"/>
      <c r="N121" s="809"/>
      <c r="O121" s="811">
        <v>0</v>
      </c>
      <c r="P121" s="812"/>
      <c r="Q121" s="812">
        <v>0</v>
      </c>
      <c r="R121" s="807">
        <f t="shared" si="2"/>
        <v>0</v>
      </c>
      <c r="S121" s="1174"/>
    </row>
    <row r="122" spans="2:19">
      <c r="B122" s="210" t="str">
        <f>IF(COUNTA(C122)=1,MAX(B$107:B121)+1,"")</f>
        <v/>
      </c>
      <c r="C122" s="808"/>
      <c r="D122" s="809"/>
      <c r="E122" s="809"/>
      <c r="F122" s="809"/>
      <c r="G122" s="809"/>
      <c r="H122" s="810"/>
      <c r="I122" s="808"/>
      <c r="J122" s="809"/>
      <c r="K122" s="809"/>
      <c r="L122" s="809"/>
      <c r="M122" s="809"/>
      <c r="N122" s="809"/>
      <c r="O122" s="811">
        <v>0</v>
      </c>
      <c r="P122" s="812"/>
      <c r="Q122" s="812">
        <v>0</v>
      </c>
      <c r="R122" s="807">
        <f t="shared" si="2"/>
        <v>0</v>
      </c>
      <c r="S122" s="1174"/>
    </row>
    <row r="123" spans="2:19">
      <c r="B123" s="210" t="str">
        <f>IF(COUNTA(C123)=1,MAX(B$107:B122)+1,"")</f>
        <v/>
      </c>
      <c r="C123" s="808"/>
      <c r="D123" s="809"/>
      <c r="E123" s="809"/>
      <c r="F123" s="809"/>
      <c r="G123" s="809"/>
      <c r="H123" s="810"/>
      <c r="I123" s="808"/>
      <c r="J123" s="809"/>
      <c r="K123" s="809"/>
      <c r="L123" s="809"/>
      <c r="M123" s="809"/>
      <c r="N123" s="809"/>
      <c r="O123" s="811">
        <v>0</v>
      </c>
      <c r="P123" s="812"/>
      <c r="Q123" s="812">
        <v>0</v>
      </c>
      <c r="R123" s="807">
        <f t="shared" si="2"/>
        <v>0</v>
      </c>
      <c r="S123" s="1174"/>
    </row>
    <row r="124" spans="2:19">
      <c r="B124" s="210" t="str">
        <f>IF(COUNTA(C124)=1,MAX(B$107:B123)+1,"")</f>
        <v/>
      </c>
      <c r="C124" s="808"/>
      <c r="D124" s="809"/>
      <c r="E124" s="809"/>
      <c r="F124" s="809"/>
      <c r="G124" s="809"/>
      <c r="H124" s="810"/>
      <c r="I124" s="808"/>
      <c r="J124" s="809"/>
      <c r="K124" s="809"/>
      <c r="L124" s="809"/>
      <c r="M124" s="809"/>
      <c r="N124" s="809"/>
      <c r="O124" s="811">
        <v>0</v>
      </c>
      <c r="P124" s="812"/>
      <c r="Q124" s="812">
        <v>0</v>
      </c>
      <c r="R124" s="807">
        <f t="shared" si="2"/>
        <v>0</v>
      </c>
      <c r="S124" s="1174"/>
    </row>
    <row r="125" spans="2:19">
      <c r="B125" s="210" t="str">
        <f>IF(COUNTA(C125)=1,MAX(B$107:B124)+1,"")</f>
        <v/>
      </c>
      <c r="C125" s="808"/>
      <c r="D125" s="809"/>
      <c r="E125" s="809"/>
      <c r="F125" s="809"/>
      <c r="G125" s="809"/>
      <c r="H125" s="810"/>
      <c r="I125" s="808"/>
      <c r="J125" s="809"/>
      <c r="K125" s="809"/>
      <c r="L125" s="809"/>
      <c r="M125" s="809"/>
      <c r="N125" s="809"/>
      <c r="O125" s="811">
        <v>0</v>
      </c>
      <c r="P125" s="812"/>
      <c r="Q125" s="812">
        <v>0</v>
      </c>
      <c r="R125" s="807">
        <f t="shared" si="2"/>
        <v>0</v>
      </c>
      <c r="S125" s="1174"/>
    </row>
    <row r="126" spans="2:19">
      <c r="B126" s="210" t="str">
        <f>IF(COUNTA(C126)=1,MAX(B$107:B125)+1,"")</f>
        <v/>
      </c>
      <c r="C126" s="808"/>
      <c r="D126" s="809"/>
      <c r="E126" s="809"/>
      <c r="F126" s="809"/>
      <c r="G126" s="809"/>
      <c r="H126" s="810"/>
      <c r="I126" s="808"/>
      <c r="J126" s="809"/>
      <c r="K126" s="809"/>
      <c r="L126" s="809"/>
      <c r="M126" s="809"/>
      <c r="N126" s="809"/>
      <c r="O126" s="811">
        <v>0</v>
      </c>
      <c r="P126" s="812"/>
      <c r="Q126" s="812">
        <v>0</v>
      </c>
      <c r="R126" s="807">
        <f t="shared" si="2"/>
        <v>0</v>
      </c>
      <c r="S126" s="1174"/>
    </row>
    <row r="127" spans="2:19">
      <c r="B127" s="210" t="str">
        <f>IF(COUNTA(C127)=1,MAX(B$107:B126)+1,"")</f>
        <v/>
      </c>
      <c r="C127" s="808"/>
      <c r="D127" s="809"/>
      <c r="E127" s="809"/>
      <c r="F127" s="809"/>
      <c r="G127" s="809"/>
      <c r="H127" s="810"/>
      <c r="I127" s="808"/>
      <c r="J127" s="809"/>
      <c r="K127" s="809"/>
      <c r="L127" s="809"/>
      <c r="M127" s="809"/>
      <c r="N127" s="809"/>
      <c r="O127" s="811">
        <v>0</v>
      </c>
      <c r="P127" s="812"/>
      <c r="Q127" s="812">
        <v>0</v>
      </c>
      <c r="R127" s="807">
        <f t="shared" si="2"/>
        <v>0</v>
      </c>
      <c r="S127" s="1174"/>
    </row>
    <row r="128" spans="2:19">
      <c r="B128" s="210" t="str">
        <f>IF(COUNTA(C128)=1,MAX(B$107:B127)+1,"")</f>
        <v/>
      </c>
      <c r="C128" s="808"/>
      <c r="D128" s="809"/>
      <c r="E128" s="809"/>
      <c r="F128" s="809"/>
      <c r="G128" s="809"/>
      <c r="H128" s="810"/>
      <c r="I128" s="808"/>
      <c r="J128" s="809"/>
      <c r="K128" s="809"/>
      <c r="L128" s="809"/>
      <c r="M128" s="809"/>
      <c r="N128" s="809"/>
      <c r="O128" s="811">
        <v>0</v>
      </c>
      <c r="P128" s="812"/>
      <c r="Q128" s="812">
        <v>0</v>
      </c>
      <c r="R128" s="807">
        <f t="shared" si="2"/>
        <v>0</v>
      </c>
      <c r="S128" s="1174"/>
    </row>
    <row r="129" spans="2:19">
      <c r="B129" s="210" t="str">
        <f>IF(COUNTA(C129)=1,MAX(B$107:B128)+1,"")</f>
        <v/>
      </c>
      <c r="C129" s="808"/>
      <c r="D129" s="809"/>
      <c r="E129" s="809"/>
      <c r="F129" s="809"/>
      <c r="G129" s="809"/>
      <c r="H129" s="810"/>
      <c r="I129" s="808"/>
      <c r="J129" s="809"/>
      <c r="K129" s="809"/>
      <c r="L129" s="809"/>
      <c r="M129" s="809"/>
      <c r="N129" s="809"/>
      <c r="O129" s="811">
        <v>0</v>
      </c>
      <c r="P129" s="812"/>
      <c r="Q129" s="812">
        <v>0</v>
      </c>
      <c r="R129" s="807">
        <f t="shared" si="2"/>
        <v>0</v>
      </c>
      <c r="S129" s="1174"/>
    </row>
    <row r="130" spans="2:19">
      <c r="B130" s="210" t="str">
        <f>IF(COUNTA(C130)=1,MAX(B$107:B129)+1,"")</f>
        <v/>
      </c>
      <c r="C130" s="808"/>
      <c r="D130" s="809"/>
      <c r="E130" s="809"/>
      <c r="F130" s="809"/>
      <c r="G130" s="809"/>
      <c r="H130" s="810"/>
      <c r="I130" s="808"/>
      <c r="J130" s="809"/>
      <c r="K130" s="809"/>
      <c r="L130" s="809"/>
      <c r="M130" s="809"/>
      <c r="N130" s="809"/>
      <c r="O130" s="811">
        <v>0</v>
      </c>
      <c r="P130" s="812"/>
      <c r="Q130" s="812">
        <v>0</v>
      </c>
      <c r="R130" s="807">
        <f t="shared" si="2"/>
        <v>0</v>
      </c>
      <c r="S130" s="1174"/>
    </row>
    <row r="131" spans="2:19">
      <c r="B131" s="210" t="str">
        <f>IF(COUNTA(C131)=1,MAX(B$107:B130)+1,"")</f>
        <v/>
      </c>
      <c r="C131" s="808"/>
      <c r="D131" s="809"/>
      <c r="E131" s="809"/>
      <c r="F131" s="809"/>
      <c r="G131" s="809"/>
      <c r="H131" s="810"/>
      <c r="I131" s="808"/>
      <c r="J131" s="809"/>
      <c r="K131" s="809"/>
      <c r="L131" s="809"/>
      <c r="M131" s="809"/>
      <c r="N131" s="809"/>
      <c r="O131" s="811">
        <v>0</v>
      </c>
      <c r="P131" s="812"/>
      <c r="Q131" s="812">
        <v>0</v>
      </c>
      <c r="R131" s="807">
        <f t="shared" si="2"/>
        <v>0</v>
      </c>
      <c r="S131" s="1174"/>
    </row>
    <row r="132" spans="2:19">
      <c r="B132" s="210" t="str">
        <f>IF(COUNTA(C132)=1,MAX(B$107:B131)+1,"")</f>
        <v/>
      </c>
      <c r="C132" s="808"/>
      <c r="D132" s="809"/>
      <c r="E132" s="809"/>
      <c r="F132" s="809"/>
      <c r="G132" s="809"/>
      <c r="H132" s="810"/>
      <c r="I132" s="808"/>
      <c r="J132" s="809"/>
      <c r="K132" s="809"/>
      <c r="L132" s="809"/>
      <c r="M132" s="809"/>
      <c r="N132" s="809"/>
      <c r="O132" s="811">
        <v>0</v>
      </c>
      <c r="P132" s="812"/>
      <c r="Q132" s="812">
        <v>0</v>
      </c>
      <c r="R132" s="807">
        <f t="shared" si="2"/>
        <v>0</v>
      </c>
      <c r="S132" s="1174"/>
    </row>
    <row r="133" spans="2:19">
      <c r="B133" s="210" t="str">
        <f>IF(COUNTA(C133)=1,MAX(B$107:B132)+1,"")</f>
        <v/>
      </c>
      <c r="C133" s="808"/>
      <c r="D133" s="809"/>
      <c r="E133" s="809"/>
      <c r="F133" s="809"/>
      <c r="G133" s="809"/>
      <c r="H133" s="810"/>
      <c r="I133" s="808"/>
      <c r="J133" s="809"/>
      <c r="K133" s="809"/>
      <c r="L133" s="809"/>
      <c r="M133" s="809"/>
      <c r="N133" s="809"/>
      <c r="O133" s="811">
        <v>0</v>
      </c>
      <c r="P133" s="812"/>
      <c r="Q133" s="812">
        <v>0</v>
      </c>
      <c r="R133" s="807">
        <f t="shared" si="2"/>
        <v>0</v>
      </c>
      <c r="S133" s="1174"/>
    </row>
    <row r="134" spans="2:19">
      <c r="B134" s="210" t="str">
        <f>IF(COUNTA(C134)=1,MAX(B$107:B133)+1,"")</f>
        <v/>
      </c>
      <c r="C134" s="808"/>
      <c r="D134" s="809"/>
      <c r="E134" s="809"/>
      <c r="F134" s="809"/>
      <c r="G134" s="809"/>
      <c r="H134" s="810"/>
      <c r="I134" s="808"/>
      <c r="J134" s="809"/>
      <c r="K134" s="809"/>
      <c r="L134" s="809"/>
      <c r="M134" s="809"/>
      <c r="N134" s="809"/>
      <c r="O134" s="811">
        <v>0</v>
      </c>
      <c r="P134" s="812"/>
      <c r="Q134" s="812">
        <v>0</v>
      </c>
      <c r="R134" s="807">
        <f t="shared" si="2"/>
        <v>0</v>
      </c>
      <c r="S134" s="1174"/>
    </row>
    <row r="135" spans="2:19">
      <c r="B135" s="210" t="str">
        <f>IF(COUNTA(C135)=1,MAX(B$107:B134)+1,"")</f>
        <v/>
      </c>
      <c r="C135" s="808"/>
      <c r="D135" s="809"/>
      <c r="E135" s="809"/>
      <c r="F135" s="809"/>
      <c r="G135" s="809"/>
      <c r="H135" s="810"/>
      <c r="I135" s="808"/>
      <c r="J135" s="809"/>
      <c r="K135" s="809"/>
      <c r="L135" s="809"/>
      <c r="M135" s="809"/>
      <c r="N135" s="809"/>
      <c r="O135" s="811">
        <v>0</v>
      </c>
      <c r="P135" s="812"/>
      <c r="Q135" s="812">
        <v>0</v>
      </c>
      <c r="R135" s="807">
        <f t="shared" si="2"/>
        <v>0</v>
      </c>
      <c r="S135" s="1174"/>
    </row>
    <row r="136" spans="2:19">
      <c r="B136" s="210" t="str">
        <f>IF(COUNTA(C136)=1,MAX(B$107:B135)+1,"")</f>
        <v/>
      </c>
      <c r="C136" s="808"/>
      <c r="D136" s="809"/>
      <c r="E136" s="809"/>
      <c r="F136" s="809"/>
      <c r="G136" s="809"/>
      <c r="H136" s="810"/>
      <c r="I136" s="808"/>
      <c r="J136" s="809"/>
      <c r="K136" s="809"/>
      <c r="L136" s="809"/>
      <c r="M136" s="809"/>
      <c r="N136" s="809"/>
      <c r="O136" s="811">
        <v>0</v>
      </c>
      <c r="P136" s="812"/>
      <c r="Q136" s="812">
        <v>0</v>
      </c>
      <c r="R136" s="807">
        <f t="shared" si="2"/>
        <v>0</v>
      </c>
      <c r="S136" s="1174"/>
    </row>
    <row r="137" spans="2:19">
      <c r="B137" s="210" t="str">
        <f>IF(COUNTA(C137)=1,MAX(B$107:B136)+1,"")</f>
        <v/>
      </c>
      <c r="C137" s="808"/>
      <c r="D137" s="809"/>
      <c r="E137" s="809"/>
      <c r="F137" s="809"/>
      <c r="G137" s="809"/>
      <c r="H137" s="810"/>
      <c r="I137" s="808"/>
      <c r="J137" s="809"/>
      <c r="K137" s="809"/>
      <c r="L137" s="809"/>
      <c r="M137" s="809"/>
      <c r="N137" s="809"/>
      <c r="O137" s="811">
        <v>0</v>
      </c>
      <c r="P137" s="812"/>
      <c r="Q137" s="812">
        <v>0</v>
      </c>
      <c r="R137" s="807">
        <f t="shared" si="2"/>
        <v>0</v>
      </c>
      <c r="S137" s="1174"/>
    </row>
    <row r="138" spans="2:19">
      <c r="B138" s="210" t="str">
        <f>IF(COUNTA(C138)=1,MAX(B$107:B137)+1,"")</f>
        <v/>
      </c>
      <c r="C138" s="808"/>
      <c r="D138" s="809"/>
      <c r="E138" s="809"/>
      <c r="F138" s="809"/>
      <c r="G138" s="809"/>
      <c r="H138" s="810"/>
      <c r="I138" s="808"/>
      <c r="J138" s="809"/>
      <c r="K138" s="809"/>
      <c r="L138" s="809"/>
      <c r="M138" s="809"/>
      <c r="N138" s="809"/>
      <c r="O138" s="811">
        <v>0</v>
      </c>
      <c r="P138" s="812"/>
      <c r="Q138" s="812">
        <v>0</v>
      </c>
      <c r="R138" s="807">
        <f t="shared" si="2"/>
        <v>0</v>
      </c>
      <c r="S138" s="1174"/>
    </row>
    <row r="139" spans="2:19">
      <c r="B139" s="210" t="str">
        <f>IF(COUNTA(C139)=1,MAX(B$107:B138)+1,"")</f>
        <v/>
      </c>
      <c r="C139" s="808"/>
      <c r="D139" s="809"/>
      <c r="E139" s="809"/>
      <c r="F139" s="809"/>
      <c r="G139" s="809"/>
      <c r="H139" s="810"/>
      <c r="I139" s="808"/>
      <c r="J139" s="809"/>
      <c r="K139" s="809"/>
      <c r="L139" s="809"/>
      <c r="M139" s="809"/>
      <c r="N139" s="809"/>
      <c r="O139" s="811">
        <v>0</v>
      </c>
      <c r="P139" s="812"/>
      <c r="Q139" s="812">
        <v>0</v>
      </c>
      <c r="R139" s="807">
        <f t="shared" si="2"/>
        <v>0</v>
      </c>
      <c r="S139" s="1174"/>
    </row>
    <row r="140" spans="2:19">
      <c r="B140" s="210" t="str">
        <f>IF(COUNTA(C140)=1,MAX(B$107:B139)+1,"")</f>
        <v/>
      </c>
      <c r="C140" s="808"/>
      <c r="D140" s="809"/>
      <c r="E140" s="809"/>
      <c r="F140" s="809"/>
      <c r="G140" s="809"/>
      <c r="H140" s="810"/>
      <c r="I140" s="808"/>
      <c r="J140" s="809"/>
      <c r="K140" s="809"/>
      <c r="L140" s="809"/>
      <c r="M140" s="809"/>
      <c r="N140" s="809"/>
      <c r="O140" s="811">
        <v>0</v>
      </c>
      <c r="P140" s="812"/>
      <c r="Q140" s="812">
        <v>0</v>
      </c>
      <c r="R140" s="807">
        <f t="shared" si="2"/>
        <v>0</v>
      </c>
      <c r="S140" s="1174"/>
    </row>
    <row r="141" spans="2:19">
      <c r="B141" s="210" t="str">
        <f>IF(COUNTA(C141)=1,MAX(B$107:B140)+1,"")</f>
        <v/>
      </c>
      <c r="C141" s="808"/>
      <c r="D141" s="809"/>
      <c r="E141" s="809"/>
      <c r="F141" s="809"/>
      <c r="G141" s="809"/>
      <c r="H141" s="810"/>
      <c r="I141" s="808"/>
      <c r="J141" s="809"/>
      <c r="K141" s="809"/>
      <c r="L141" s="809"/>
      <c r="M141" s="809"/>
      <c r="N141" s="809"/>
      <c r="O141" s="811">
        <v>0</v>
      </c>
      <c r="P141" s="812"/>
      <c r="Q141" s="812">
        <v>0</v>
      </c>
      <c r="R141" s="807">
        <f t="shared" si="2"/>
        <v>0</v>
      </c>
      <c r="S141" s="1174"/>
    </row>
    <row r="142" spans="2:19">
      <c r="B142" s="210" t="str">
        <f>IF(COUNTA(C142)=1,MAX(B$107:B141)+1,"")</f>
        <v/>
      </c>
      <c r="C142" s="808"/>
      <c r="D142" s="809"/>
      <c r="E142" s="809"/>
      <c r="F142" s="809"/>
      <c r="G142" s="809"/>
      <c r="H142" s="810"/>
      <c r="I142" s="808"/>
      <c r="J142" s="809"/>
      <c r="K142" s="809"/>
      <c r="L142" s="809"/>
      <c r="M142" s="809"/>
      <c r="N142" s="809"/>
      <c r="O142" s="811">
        <v>0</v>
      </c>
      <c r="P142" s="812"/>
      <c r="Q142" s="812">
        <v>0</v>
      </c>
      <c r="R142" s="807">
        <f t="shared" si="2"/>
        <v>0</v>
      </c>
      <c r="S142" s="1174"/>
    </row>
    <row r="143" spans="2:19">
      <c r="B143" s="210" t="str">
        <f>IF(COUNTA(C143)=1,MAX(B$107:B142)+1,"")</f>
        <v/>
      </c>
      <c r="C143" s="808"/>
      <c r="D143" s="809"/>
      <c r="E143" s="809"/>
      <c r="F143" s="809"/>
      <c r="G143" s="809"/>
      <c r="H143" s="810"/>
      <c r="I143" s="808"/>
      <c r="J143" s="809"/>
      <c r="K143" s="809"/>
      <c r="L143" s="809"/>
      <c r="M143" s="809"/>
      <c r="N143" s="809"/>
      <c r="O143" s="811">
        <v>0</v>
      </c>
      <c r="P143" s="812"/>
      <c r="Q143" s="812">
        <v>0</v>
      </c>
      <c r="R143" s="807">
        <f t="shared" si="2"/>
        <v>0</v>
      </c>
      <c r="S143" s="1174"/>
    </row>
    <row r="144" spans="2:19">
      <c r="B144" s="210" t="str">
        <f>IF(COUNTA(C144)=1,MAX(B$107:B143)+1,"")</f>
        <v/>
      </c>
      <c r="C144" s="808"/>
      <c r="D144" s="809"/>
      <c r="E144" s="809"/>
      <c r="F144" s="809"/>
      <c r="G144" s="809"/>
      <c r="H144" s="810"/>
      <c r="I144" s="808"/>
      <c r="J144" s="809"/>
      <c r="K144" s="809"/>
      <c r="L144" s="809"/>
      <c r="M144" s="809"/>
      <c r="N144" s="809"/>
      <c r="O144" s="811">
        <v>0</v>
      </c>
      <c r="P144" s="812"/>
      <c r="Q144" s="812">
        <v>0</v>
      </c>
      <c r="R144" s="807">
        <f t="shared" si="2"/>
        <v>0</v>
      </c>
      <c r="S144" s="1174"/>
    </row>
    <row r="145" spans="2:19">
      <c r="B145" s="210" t="str">
        <f>IF(COUNTA(C145)=1,MAX(B$107:B144)+1,"")</f>
        <v/>
      </c>
      <c r="C145" s="808"/>
      <c r="D145" s="809"/>
      <c r="E145" s="809"/>
      <c r="F145" s="809"/>
      <c r="G145" s="809"/>
      <c r="H145" s="810"/>
      <c r="I145" s="808"/>
      <c r="J145" s="809"/>
      <c r="K145" s="809"/>
      <c r="L145" s="809"/>
      <c r="M145" s="809"/>
      <c r="N145" s="809"/>
      <c r="O145" s="811">
        <v>0</v>
      </c>
      <c r="P145" s="812"/>
      <c r="Q145" s="812">
        <v>0</v>
      </c>
      <c r="R145" s="807">
        <f t="shared" si="2"/>
        <v>0</v>
      </c>
      <c r="S145" s="1174"/>
    </row>
    <row r="146" spans="2:19">
      <c r="B146" s="210" t="str">
        <f>IF(COUNTA(C146)=1,MAX(B$107:B145)+1,"")</f>
        <v/>
      </c>
      <c r="C146" s="808"/>
      <c r="D146" s="809"/>
      <c r="E146" s="809"/>
      <c r="F146" s="809"/>
      <c r="G146" s="809"/>
      <c r="H146" s="810"/>
      <c r="I146" s="808"/>
      <c r="J146" s="809"/>
      <c r="K146" s="809"/>
      <c r="L146" s="809"/>
      <c r="M146" s="809"/>
      <c r="N146" s="809"/>
      <c r="O146" s="811">
        <v>0</v>
      </c>
      <c r="P146" s="812"/>
      <c r="Q146" s="812">
        <v>0</v>
      </c>
      <c r="R146" s="807">
        <f t="shared" si="2"/>
        <v>0</v>
      </c>
      <c r="S146" s="1174"/>
    </row>
    <row r="147" spans="2:19">
      <c r="B147" s="210" t="str">
        <f>IF(COUNTA(C147)=1,MAX(B$107:B146)+1,"")</f>
        <v/>
      </c>
      <c r="C147" s="808"/>
      <c r="D147" s="809"/>
      <c r="E147" s="809"/>
      <c r="F147" s="809"/>
      <c r="G147" s="809"/>
      <c r="H147" s="810"/>
      <c r="I147" s="808"/>
      <c r="J147" s="809"/>
      <c r="K147" s="809"/>
      <c r="L147" s="809"/>
      <c r="M147" s="809"/>
      <c r="N147" s="809"/>
      <c r="O147" s="811">
        <v>0</v>
      </c>
      <c r="P147" s="812"/>
      <c r="Q147" s="812">
        <v>0</v>
      </c>
      <c r="R147" s="807">
        <f t="shared" si="2"/>
        <v>0</v>
      </c>
      <c r="S147" s="1174"/>
    </row>
    <row r="148" spans="2:19">
      <c r="B148" s="210" t="str">
        <f>IF(COUNTA(C148)=1,MAX(B$107:B147)+1,"")</f>
        <v/>
      </c>
      <c r="C148" s="808"/>
      <c r="D148" s="809"/>
      <c r="E148" s="809"/>
      <c r="F148" s="809"/>
      <c r="G148" s="809"/>
      <c r="H148" s="810"/>
      <c r="I148" s="808"/>
      <c r="J148" s="809"/>
      <c r="K148" s="809"/>
      <c r="L148" s="809"/>
      <c r="M148" s="809"/>
      <c r="N148" s="809"/>
      <c r="O148" s="811">
        <v>0</v>
      </c>
      <c r="P148" s="812"/>
      <c r="Q148" s="812">
        <v>0</v>
      </c>
      <c r="R148" s="807">
        <f t="shared" si="2"/>
        <v>0</v>
      </c>
      <c r="S148" s="1174"/>
    </row>
    <row r="149" spans="2:19">
      <c r="B149" s="210" t="str">
        <f>IF(COUNTA(C149)=1,MAX(B$107:B148)+1,"")</f>
        <v/>
      </c>
      <c r="C149" s="808"/>
      <c r="D149" s="809"/>
      <c r="E149" s="809"/>
      <c r="F149" s="809"/>
      <c r="G149" s="809"/>
      <c r="H149" s="810"/>
      <c r="I149" s="808"/>
      <c r="J149" s="809"/>
      <c r="K149" s="809"/>
      <c r="L149" s="809"/>
      <c r="M149" s="809"/>
      <c r="N149" s="809"/>
      <c r="O149" s="811">
        <v>0</v>
      </c>
      <c r="P149" s="812"/>
      <c r="Q149" s="812">
        <v>0</v>
      </c>
      <c r="R149" s="807">
        <f t="shared" si="2"/>
        <v>0</v>
      </c>
      <c r="S149" s="1174"/>
    </row>
    <row r="150" spans="2:19">
      <c r="B150" s="210" t="str">
        <f>IF(COUNTA(C150)=1,MAX(B$107:B149)+1,"")</f>
        <v/>
      </c>
      <c r="C150" s="808"/>
      <c r="D150" s="809"/>
      <c r="E150" s="809"/>
      <c r="F150" s="809"/>
      <c r="G150" s="809"/>
      <c r="H150" s="810"/>
      <c r="I150" s="808"/>
      <c r="J150" s="809"/>
      <c r="K150" s="809"/>
      <c r="L150" s="809"/>
      <c r="M150" s="809"/>
      <c r="N150" s="809"/>
      <c r="O150" s="811">
        <v>0</v>
      </c>
      <c r="P150" s="812"/>
      <c r="Q150" s="812">
        <v>0</v>
      </c>
      <c r="R150" s="807">
        <f t="shared" si="2"/>
        <v>0</v>
      </c>
      <c r="S150" s="1174"/>
    </row>
    <row r="151" spans="2:19">
      <c r="B151" s="210" t="str">
        <f>IF(COUNTA(C151)=1,MAX(B$107:B150)+1,"")</f>
        <v/>
      </c>
      <c r="C151" s="808"/>
      <c r="D151" s="809"/>
      <c r="E151" s="809"/>
      <c r="F151" s="809"/>
      <c r="G151" s="809"/>
      <c r="H151" s="810"/>
      <c r="I151" s="808"/>
      <c r="J151" s="809"/>
      <c r="K151" s="809"/>
      <c r="L151" s="809"/>
      <c r="M151" s="809"/>
      <c r="N151" s="809"/>
      <c r="O151" s="811">
        <v>0</v>
      </c>
      <c r="P151" s="812"/>
      <c r="Q151" s="812">
        <v>0</v>
      </c>
      <c r="R151" s="807">
        <f t="shared" si="2"/>
        <v>0</v>
      </c>
      <c r="S151" s="1174"/>
    </row>
    <row r="152" spans="2:19">
      <c r="B152" s="210" t="str">
        <f>IF(COUNTA(C152)=1,MAX(B$107:B151)+1,"")</f>
        <v/>
      </c>
      <c r="C152" s="808"/>
      <c r="D152" s="809"/>
      <c r="E152" s="809"/>
      <c r="F152" s="809"/>
      <c r="G152" s="809"/>
      <c r="H152" s="810"/>
      <c r="I152" s="808"/>
      <c r="J152" s="809"/>
      <c r="K152" s="809"/>
      <c r="L152" s="809"/>
      <c r="M152" s="809"/>
      <c r="N152" s="809"/>
      <c r="O152" s="811">
        <v>0</v>
      </c>
      <c r="P152" s="812"/>
      <c r="Q152" s="812">
        <v>0</v>
      </c>
      <c r="R152" s="807">
        <f t="shared" si="2"/>
        <v>0</v>
      </c>
      <c r="S152" s="1174"/>
    </row>
    <row r="153" spans="2:19">
      <c r="B153" s="210" t="str">
        <f>IF(COUNTA(C153)=1,MAX(B$107:B152)+1,"")</f>
        <v/>
      </c>
      <c r="C153" s="808"/>
      <c r="D153" s="809"/>
      <c r="E153" s="809"/>
      <c r="F153" s="809"/>
      <c r="G153" s="809"/>
      <c r="H153" s="810"/>
      <c r="I153" s="808"/>
      <c r="J153" s="809"/>
      <c r="K153" s="809"/>
      <c r="L153" s="809"/>
      <c r="M153" s="809"/>
      <c r="N153" s="809"/>
      <c r="O153" s="811">
        <v>0</v>
      </c>
      <c r="P153" s="812"/>
      <c r="Q153" s="812">
        <v>0</v>
      </c>
      <c r="R153" s="807">
        <f t="shared" si="2"/>
        <v>0</v>
      </c>
      <c r="S153" s="1174"/>
    </row>
    <row r="154" spans="2:19">
      <c r="B154" s="210" t="str">
        <f>IF(COUNTA(C154)=1,MAX(B$107:B153)+1,"")</f>
        <v/>
      </c>
      <c r="C154" s="808"/>
      <c r="D154" s="809"/>
      <c r="E154" s="809"/>
      <c r="F154" s="809"/>
      <c r="G154" s="809"/>
      <c r="H154" s="810"/>
      <c r="I154" s="808"/>
      <c r="J154" s="809"/>
      <c r="K154" s="809"/>
      <c r="L154" s="809"/>
      <c r="M154" s="809"/>
      <c r="N154" s="809"/>
      <c r="O154" s="811">
        <v>0</v>
      </c>
      <c r="P154" s="812"/>
      <c r="Q154" s="812">
        <v>0</v>
      </c>
      <c r="R154" s="807">
        <f t="shared" si="2"/>
        <v>0</v>
      </c>
      <c r="S154" s="1174"/>
    </row>
    <row r="155" spans="2:19">
      <c r="B155" s="210" t="str">
        <f>IF(COUNTA(C155)=1,MAX(B$107:B154)+1,"")</f>
        <v/>
      </c>
      <c r="C155" s="808"/>
      <c r="D155" s="809"/>
      <c r="E155" s="809"/>
      <c r="F155" s="809"/>
      <c r="G155" s="809"/>
      <c r="H155" s="810"/>
      <c r="I155" s="808"/>
      <c r="J155" s="809"/>
      <c r="K155" s="809"/>
      <c r="L155" s="809"/>
      <c r="M155" s="809"/>
      <c r="N155" s="809"/>
      <c r="O155" s="811">
        <v>0</v>
      </c>
      <c r="P155" s="812"/>
      <c r="Q155" s="812">
        <v>0</v>
      </c>
      <c r="R155" s="807">
        <f t="shared" si="2"/>
        <v>0</v>
      </c>
      <c r="S155" s="1174"/>
    </row>
    <row r="156" spans="2:19">
      <c r="B156" s="210" t="str">
        <f>IF(COUNTA(C156)=1,MAX(B$107:B155)+1,"")</f>
        <v/>
      </c>
      <c r="C156" s="808"/>
      <c r="D156" s="809"/>
      <c r="E156" s="809"/>
      <c r="F156" s="809"/>
      <c r="G156" s="809"/>
      <c r="H156" s="810"/>
      <c r="I156" s="808"/>
      <c r="J156" s="809"/>
      <c r="K156" s="809"/>
      <c r="L156" s="809"/>
      <c r="M156" s="809"/>
      <c r="N156" s="809"/>
      <c r="O156" s="811">
        <v>0</v>
      </c>
      <c r="P156" s="812"/>
      <c r="Q156" s="812">
        <v>0</v>
      </c>
      <c r="R156" s="807">
        <f t="shared" si="2"/>
        <v>0</v>
      </c>
      <c r="S156" s="1174"/>
    </row>
  </sheetData>
  <sheetProtection algorithmName="SHA-512" hashValue="NlmmXLqPi2x0Uot+HVcHQCR+2FhE8TWWKNGkHItBGuh6W1YKlWSjLGlotA2I1jX0x9y9VQp+hgVNLwWAvxeqKQ==" saltValue="ltzzW6b4RLUIQNaCYfCTGw==" spinCount="100000" sheet="1" selectLockedCells="1"/>
  <mergeCells count="10">
    <mergeCell ref="P103:Q103"/>
    <mergeCell ref="P105:Q105"/>
    <mergeCell ref="O1:O2"/>
    <mergeCell ref="P1:P2"/>
    <mergeCell ref="Q1:Q2"/>
    <mergeCell ref="D27:E27"/>
    <mergeCell ref="D28:E28"/>
    <mergeCell ref="L1:L2"/>
    <mergeCell ref="M1:M2"/>
    <mergeCell ref="N1:N2"/>
  </mergeCells>
  <conditionalFormatting sqref="E21">
    <cfRule type="cellIs" dxfId="23" priority="7" stopIfTrue="1" operator="equal">
      <formula>1</formula>
    </cfRule>
  </conditionalFormatting>
  <conditionalFormatting sqref="E86">
    <cfRule type="cellIs" dxfId="22" priority="12" stopIfTrue="1" operator="equal">
      <formula>1</formula>
    </cfRule>
  </conditionalFormatting>
  <conditionalFormatting sqref="N6">
    <cfRule type="cellIs" dxfId="21" priority="6" operator="equal">
      <formula>1</formula>
    </cfRule>
  </conditionalFormatting>
  <conditionalFormatting sqref="N18">
    <cfRule type="cellIs" dxfId="20" priority="5" operator="equal">
      <formula>1</formula>
    </cfRule>
  </conditionalFormatting>
  <conditionalFormatting sqref="N22:N23">
    <cfRule type="cellIs" dxfId="19" priority="23" stopIfTrue="1" operator="equal">
      <formula>0</formula>
    </cfRule>
  </conditionalFormatting>
  <conditionalFormatting sqref="O10">
    <cfRule type="cellIs" dxfId="18" priority="1" operator="equal">
      <formula>1</formula>
    </cfRule>
  </conditionalFormatting>
  <conditionalFormatting sqref="O18 N19:O20">
    <cfRule type="cellIs" dxfId="17" priority="16" stopIfTrue="1" operator="equal">
      <formula>0</formula>
    </cfRule>
  </conditionalFormatting>
  <conditionalFormatting sqref="R107:R156">
    <cfRule type="cellIs" dxfId="16" priority="2" operator="notEqual">
      <formula>1</formula>
    </cfRule>
    <cfRule type="cellIs" dxfId="15" priority="3" operator="equal">
      <formula>1</formula>
    </cfRule>
  </conditionalFormatting>
  <conditionalFormatting sqref="S65">
    <cfRule type="cellIs" dxfId="14" priority="21" operator="equal">
      <formula>1</formula>
    </cfRule>
    <cfRule type="cellIs" dxfId="13" priority="22" operator="notEqual">
      <formula>1</formula>
    </cfRule>
  </conditionalFormatting>
  <dataValidations disablePrompts="1" count="5">
    <dataValidation type="decimal" errorStyle="information" operator="lessThanOrEqual" allowBlank="1" showInputMessage="1" showErrorMessage="1" error="Bitte nur Werte bis max. 15% verwenden." prompt="Bitte nur Werte bis max. 15% verwenden." sqref="E84" xr:uid="{031F203C-264A-422C-BBE7-506A999D28FB}">
      <formula1>0.15</formula1>
    </dataValidation>
    <dataValidation type="list" allowBlank="1" showInputMessage="1" showErrorMessage="1" sqref="Q25:Q29" xr:uid="{9C827D9B-3DC1-494D-97AA-75530A57B928}">
      <formula1>"Büro, Labor, Allg. Lehren und Lernen, Fachspez. Lehre, Lager, Weitere STB"</formula1>
    </dataValidation>
    <dataValidation type="list" allowBlank="1" sqref="E86 E21" xr:uid="{0B997BA4-2DC5-4709-A45A-F5CAB4B60192}">
      <formula1>"ja, nein"</formula1>
    </dataValidation>
    <dataValidation allowBlank="1" showInputMessage="1" showErrorMessage="1" prompt="Für die weitere Berechnung werden nur Werte bis max. 100% übernommen." sqref="S89" xr:uid="{18675C98-8CCD-4E47-B6ED-8606CD835D2F}"/>
    <dataValidation type="list" allowBlank="1" showInputMessage="1" showErrorMessage="1" sqref="O107:Q156" xr:uid="{98D669E1-A029-4159-A7C7-5604CF029489}">
      <formula1>"0%,50%,100%"</formula1>
    </dataValidation>
  </dataValidations>
  <pageMargins left="0.59055118110236227" right="0.59055118110236227" top="0.78740157480314965" bottom="0.59055118110236227" header="0.51181102362204722" footer="0.27559055118110237"/>
  <pageSetup paperSize="9" scale="79" orientation="portrait" r:id="rId1"/>
  <headerFooter alignWithMargins="0">
    <oddFooter>&amp;C&amp;8Seite &amp;P von &amp;N</oddFooter>
  </headerFooter>
  <rowBreaks count="1" manualBreakCount="1">
    <brk id="5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263C2-6D6C-44A3-BBC8-70310E8143D4}">
  <sheetPr codeName="Tabelle1">
    <tabColor theme="8" tint="0.59999389629810485"/>
    <outlinePr summaryBelow="0"/>
    <pageSetUpPr autoPageBreaks="0" fitToPage="1"/>
  </sheetPr>
  <dimension ref="A1:AF102"/>
  <sheetViews>
    <sheetView showGridLines="0" showZeros="0" zoomScale="115" zoomScaleNormal="115" zoomScaleSheetLayoutView="115" workbookViewId="0">
      <selection activeCell="A6" sqref="A6"/>
    </sheetView>
  </sheetViews>
  <sheetFormatPr baseColWidth="10" defaultColWidth="10.453125" defaultRowHeight="10"/>
  <cols>
    <col min="1" max="1" width="27.81640625" style="59" customWidth="1"/>
    <col min="2" max="2" width="0.453125" style="59" customWidth="1"/>
    <col min="3" max="4" width="5.81640625" style="59" customWidth="1"/>
    <col min="5" max="5" width="6.81640625" style="59" customWidth="1"/>
    <col min="6" max="6" width="6.54296875" style="59" customWidth="1"/>
    <col min="7" max="7" width="5.81640625" style="59" customWidth="1"/>
    <col min="8" max="8" width="0.453125" style="59" customWidth="1"/>
    <col min="9" max="9" width="5.81640625" style="59" customWidth="1"/>
    <col min="10" max="14" width="5.81640625" style="63" customWidth="1"/>
    <col min="15" max="16" width="6.54296875" style="63" customWidth="1"/>
    <col min="17" max="17" width="0.453125" style="59" customWidth="1"/>
    <col min="18" max="24" width="6.1796875" style="63" customWidth="1"/>
    <col min="25" max="25" width="0.453125" style="59" customWidth="1"/>
    <col min="26" max="26" width="4.453125" style="63" customWidth="1"/>
    <col min="27" max="27" width="4.81640625" style="63" customWidth="1"/>
    <col min="28" max="28" width="0.54296875" style="83" customWidth="1"/>
    <col min="29" max="29" width="7.1796875" style="83" customWidth="1"/>
    <col min="30" max="32" width="7.26953125" style="83" customWidth="1"/>
    <col min="33" max="16384" width="10.453125" style="59"/>
  </cols>
  <sheetData>
    <row r="1" spans="1:32" ht="22.5" customHeight="1">
      <c r="A1" s="1254" t="s">
        <v>8</v>
      </c>
      <c r="B1" s="58"/>
      <c r="C1" s="251" t="s">
        <v>0</v>
      </c>
      <c r="D1" s="252"/>
      <c r="E1" s="252"/>
      <c r="F1" s="252"/>
      <c r="G1" s="253"/>
      <c r="I1" s="254" t="s">
        <v>1</v>
      </c>
      <c r="J1" s="891"/>
      <c r="K1" s="255"/>
      <c r="L1" s="255"/>
      <c r="M1" s="255"/>
      <c r="N1" s="255"/>
      <c r="O1" s="255"/>
      <c r="P1" s="256"/>
      <c r="R1" s="254" t="s">
        <v>189</v>
      </c>
      <c r="S1" s="257"/>
      <c r="T1" s="257"/>
      <c r="U1" s="257"/>
      <c r="V1" s="257"/>
      <c r="W1" s="257"/>
      <c r="X1" s="258"/>
      <c r="Y1" s="259"/>
      <c r="Z1" s="1256" t="s">
        <v>2</v>
      </c>
      <c r="AA1" s="1257"/>
    </row>
    <row r="2" spans="1:32" ht="22.5" customHeight="1">
      <c r="A2" s="1255"/>
      <c r="B2" s="58"/>
      <c r="C2" s="260" t="s">
        <v>59</v>
      </c>
      <c r="D2" s="252"/>
      <c r="E2" s="261" t="s">
        <v>76</v>
      </c>
      <c r="F2" s="262"/>
      <c r="G2" s="253"/>
      <c r="I2" s="888" t="s">
        <v>59</v>
      </c>
      <c r="J2" s="892"/>
      <c r="K2" s="889"/>
      <c r="L2" s="890"/>
      <c r="M2" s="890"/>
      <c r="N2" s="890"/>
      <c r="O2" s="1270" t="s">
        <v>82</v>
      </c>
      <c r="P2" s="1271"/>
      <c r="R2" s="260" t="s">
        <v>191</v>
      </c>
      <c r="S2" s="252"/>
      <c r="T2" s="253"/>
      <c r="U2" s="1277" t="s">
        <v>71</v>
      </c>
      <c r="V2" s="1278"/>
      <c r="W2" s="1279"/>
      <c r="X2" s="1260" t="s">
        <v>72</v>
      </c>
      <c r="Z2" s="1258"/>
      <c r="AA2" s="1259"/>
    </row>
    <row r="3" spans="1:32" ht="22.5" customHeight="1">
      <c r="A3" s="1255"/>
      <c r="B3" s="58"/>
      <c r="C3" s="1248" t="s">
        <v>77</v>
      </c>
      <c r="D3" s="1263" t="s">
        <v>78</v>
      </c>
      <c r="E3" s="1265" t="s">
        <v>79</v>
      </c>
      <c r="F3" s="1266"/>
      <c r="G3" s="1248" t="s">
        <v>78</v>
      </c>
      <c r="I3" s="1248" t="s">
        <v>296</v>
      </c>
      <c r="J3" s="265" t="s">
        <v>88</v>
      </c>
      <c r="K3" s="1267" t="s">
        <v>84</v>
      </c>
      <c r="L3" s="1268"/>
      <c r="M3" s="1267" t="s">
        <v>85</v>
      </c>
      <c r="N3" s="1269"/>
      <c r="O3" s="1272"/>
      <c r="P3" s="1273"/>
      <c r="R3" s="1260" t="s">
        <v>231</v>
      </c>
      <c r="S3" s="1267" t="s">
        <v>91</v>
      </c>
      <c r="T3" s="1268"/>
      <c r="U3" s="1280"/>
      <c r="V3" s="1281"/>
      <c r="W3" s="1282"/>
      <c r="X3" s="1261"/>
      <c r="Z3" s="380"/>
      <c r="AA3" s="380"/>
    </row>
    <row r="4" spans="1:32" ht="70" customHeight="1">
      <c r="A4" s="1255"/>
      <c r="B4" s="268"/>
      <c r="C4" s="1249"/>
      <c r="D4" s="1264"/>
      <c r="E4" s="269" t="s">
        <v>80</v>
      </c>
      <c r="F4" s="264" t="s">
        <v>81</v>
      </c>
      <c r="G4" s="1249"/>
      <c r="H4" s="270"/>
      <c r="I4" s="1249"/>
      <c r="J4" s="264" t="s">
        <v>89</v>
      </c>
      <c r="K4" s="264" t="s">
        <v>89</v>
      </c>
      <c r="L4" s="266" t="s">
        <v>90</v>
      </c>
      <c r="M4" s="264" t="s">
        <v>89</v>
      </c>
      <c r="N4" s="266" t="s">
        <v>90</v>
      </c>
      <c r="O4" s="271" t="s">
        <v>80</v>
      </c>
      <c r="P4" s="264" t="s">
        <v>81</v>
      </c>
      <c r="Q4" s="270"/>
      <c r="R4" s="1261"/>
      <c r="S4" s="272" t="s">
        <v>134</v>
      </c>
      <c r="T4" s="267" t="s">
        <v>35</v>
      </c>
      <c r="U4" s="267" t="s">
        <v>133</v>
      </c>
      <c r="V4" s="267" t="s">
        <v>272</v>
      </c>
      <c r="W4" s="267" t="s">
        <v>273</v>
      </c>
      <c r="X4" s="1262"/>
      <c r="Y4" s="270"/>
      <c r="Z4" s="381" t="s">
        <v>0</v>
      </c>
      <c r="AA4" s="714" t="s">
        <v>193</v>
      </c>
      <c r="AD4" s="78" t="s">
        <v>863</v>
      </c>
    </row>
    <row r="5" spans="1:32" ht="2.25" customHeight="1">
      <c r="A5" s="60"/>
      <c r="B5" s="61"/>
      <c r="C5" s="273"/>
      <c r="D5" s="274"/>
      <c r="E5" s="275"/>
      <c r="F5" s="273"/>
      <c r="G5" s="273"/>
      <c r="I5" s="273"/>
      <c r="J5" s="62"/>
      <c r="K5" s="62"/>
      <c r="L5" s="62"/>
      <c r="M5" s="62"/>
      <c r="N5" s="276"/>
      <c r="O5" s="277"/>
      <c r="P5" s="273"/>
      <c r="R5" s="62"/>
      <c r="S5" s="62"/>
      <c r="T5" s="62"/>
      <c r="U5" s="62"/>
      <c r="V5" s="62"/>
      <c r="W5" s="62"/>
      <c r="X5" s="62"/>
      <c r="Z5" s="62"/>
      <c r="AA5" s="62"/>
    </row>
    <row r="6" spans="1:32" ht="6.75" customHeight="1">
      <c r="A6" s="1124"/>
      <c r="B6" s="767"/>
      <c r="C6" s="767"/>
      <c r="D6" s="767"/>
      <c r="E6" s="278"/>
    </row>
    <row r="7" spans="1:32" ht="12.75" customHeight="1">
      <c r="A7" s="472" t="s">
        <v>104</v>
      </c>
      <c r="B7" s="293"/>
      <c r="C7" s="295"/>
      <c r="D7" s="295"/>
      <c r="E7" s="295"/>
      <c r="F7" s="296"/>
      <c r="G7" s="294"/>
      <c r="H7" s="293"/>
      <c r="I7" s="293"/>
      <c r="J7" s="297"/>
      <c r="K7" s="297"/>
      <c r="L7" s="298"/>
      <c r="M7" s="298"/>
      <c r="N7" s="298"/>
      <c r="O7" s="299"/>
      <c r="P7" s="297"/>
      <c r="Q7" s="293"/>
      <c r="R7" s="297"/>
      <c r="S7" s="297"/>
      <c r="T7" s="297"/>
      <c r="U7" s="297"/>
      <c r="V7" s="297"/>
      <c r="W7" s="297"/>
      <c r="X7" s="297"/>
      <c r="Y7" s="293"/>
      <c r="Z7" s="297"/>
      <c r="AA7" s="297"/>
      <c r="AB7" s="771"/>
      <c r="AC7" s="85"/>
      <c r="AD7" s="1195"/>
      <c r="AE7" s="1196"/>
      <c r="AF7" s="1197"/>
    </row>
    <row r="8" spans="1:32" ht="2.25" customHeight="1">
      <c r="C8" s="300"/>
      <c r="D8" s="300"/>
      <c r="E8" s="301"/>
      <c r="F8" s="302"/>
      <c r="G8" s="300"/>
      <c r="J8" s="70"/>
      <c r="K8" s="70"/>
      <c r="L8" s="291"/>
      <c r="M8" s="291"/>
      <c r="N8" s="291"/>
      <c r="O8" s="292"/>
      <c r="P8" s="302"/>
      <c r="R8" s="70"/>
      <c r="S8" s="70"/>
      <c r="T8" s="70"/>
      <c r="U8" s="70"/>
      <c r="V8" s="70"/>
      <c r="W8" s="70"/>
      <c r="X8" s="70"/>
      <c r="Z8" s="70"/>
      <c r="AA8" s="70"/>
      <c r="AB8" s="771"/>
      <c r="AC8" s="85"/>
      <c r="AD8" s="1198"/>
      <c r="AE8" s="85"/>
      <c r="AF8" s="1199"/>
    </row>
    <row r="9" spans="1:32" ht="15" customHeight="1">
      <c r="A9" s="420" t="s">
        <v>122</v>
      </c>
      <c r="B9" s="68"/>
      <c r="C9" s="69">
        <v>23</v>
      </c>
      <c r="D9" s="900">
        <f>Auslast_Büro!I10</f>
        <v>0.86799999999999999</v>
      </c>
      <c r="E9" s="901">
        <v>17.5</v>
      </c>
      <c r="F9" s="279">
        <f>E9*81600/$E$31</f>
        <v>17.5</v>
      </c>
      <c r="G9" s="280">
        <f>Auslast_Büro!J10</f>
        <v>0.77200000000000002</v>
      </c>
      <c r="H9" s="281">
        <v>0</v>
      </c>
      <c r="I9" s="69">
        <v>70</v>
      </c>
      <c r="J9" s="69"/>
      <c r="K9" s="69">
        <v>20</v>
      </c>
      <c r="L9" s="282"/>
      <c r="M9" s="69">
        <v>80</v>
      </c>
      <c r="N9" s="283"/>
      <c r="O9" s="474">
        <v>12.5</v>
      </c>
      <c r="P9" s="279">
        <f>O9*81600/$E$31</f>
        <v>12.5</v>
      </c>
      <c r="Q9" s="284"/>
      <c r="R9" s="882">
        <v>1.3</v>
      </c>
      <c r="S9" s="1286">
        <v>0.39</v>
      </c>
      <c r="T9" s="1286">
        <v>7.0000000000000007E-2</v>
      </c>
      <c r="U9" s="286">
        <v>2</v>
      </c>
      <c r="V9" s="286"/>
      <c r="W9" s="286"/>
      <c r="X9" s="286">
        <v>2</v>
      </c>
      <c r="Y9" s="65"/>
      <c r="Z9" s="1283">
        <v>2.5000000000000001E-2</v>
      </c>
      <c r="AA9" s="285">
        <v>0.1</v>
      </c>
      <c r="AB9" s="771"/>
      <c r="AC9" s="85"/>
      <c r="AD9" s="1200"/>
      <c r="AE9" s="1201"/>
      <c r="AF9" s="1202"/>
    </row>
    <row r="10" spans="1:32" ht="15" customHeight="1">
      <c r="A10" s="67" t="s">
        <v>3</v>
      </c>
      <c r="C10" s="69">
        <v>22</v>
      </c>
      <c r="D10" s="900">
        <f>Auslast_Büro!I11</f>
        <v>0.88900000000000001</v>
      </c>
      <c r="E10" s="901">
        <v>17.5</v>
      </c>
      <c r="F10" s="279">
        <f>E10*81600/$E$31</f>
        <v>17.5</v>
      </c>
      <c r="G10" s="280">
        <f>Auslast_Büro!J11</f>
        <v>0.77500000000000002</v>
      </c>
      <c r="H10" s="281"/>
      <c r="I10" s="69"/>
      <c r="J10" s="69"/>
      <c r="K10" s="69">
        <v>20</v>
      </c>
      <c r="L10" s="282"/>
      <c r="M10" s="69"/>
      <c r="N10" s="283"/>
      <c r="O10" s="69"/>
      <c r="P10" s="69"/>
      <c r="Q10" s="284"/>
      <c r="R10" s="882">
        <v>1.4</v>
      </c>
      <c r="S10" s="1288"/>
      <c r="T10" s="1288"/>
      <c r="U10" s="286">
        <v>0.5</v>
      </c>
      <c r="V10" s="286"/>
      <c r="W10" s="286"/>
      <c r="X10" s="286">
        <v>0.5</v>
      </c>
      <c r="Y10" s="65"/>
      <c r="Z10" s="1284"/>
      <c r="AA10" s="285">
        <v>0.1</v>
      </c>
      <c r="AB10" s="771"/>
      <c r="AC10" s="85"/>
      <c r="AD10" s="1200"/>
      <c r="AE10" s="1201"/>
      <c r="AF10" s="1202"/>
    </row>
    <row r="11" spans="1:32" ht="2.25" customHeight="1">
      <c r="C11" s="300"/>
      <c r="D11" s="300"/>
      <c r="E11" s="301"/>
      <c r="F11" s="302"/>
      <c r="G11" s="300"/>
      <c r="I11" s="70"/>
      <c r="J11" s="70"/>
      <c r="K11" s="70"/>
      <c r="L11" s="291"/>
      <c r="M11" s="291"/>
      <c r="N11" s="291"/>
      <c r="O11" s="292"/>
      <c r="P11" s="302"/>
      <c r="R11" s="70"/>
      <c r="S11" s="70"/>
      <c r="T11" s="70"/>
      <c r="U11" s="70"/>
      <c r="V11" s="70"/>
      <c r="W11" s="70"/>
      <c r="X11" s="70"/>
      <c r="Z11" s="1284"/>
      <c r="AA11" s="70"/>
      <c r="AB11" s="771"/>
      <c r="AC11" s="85"/>
      <c r="AD11" s="1200"/>
      <c r="AE11" s="1201"/>
      <c r="AF11" s="1202"/>
    </row>
    <row r="12" spans="1:32" ht="15" customHeight="1">
      <c r="A12" s="71" t="s">
        <v>4</v>
      </c>
      <c r="B12" s="68"/>
      <c r="C12" s="69">
        <v>25</v>
      </c>
      <c r="D12" s="900">
        <f>Auslast_Büro!I12</f>
        <v>0.89700000000000002</v>
      </c>
      <c r="E12" s="901">
        <v>17.5</v>
      </c>
      <c r="F12" s="279">
        <f t="shared" ref="F12:F17" si="0">E12*81600/$E$31</f>
        <v>17.5</v>
      </c>
      <c r="G12" s="280">
        <f>Auslast_Büro!J12</f>
        <v>0.78100000000000003</v>
      </c>
      <c r="H12" s="303">
        <v>0</v>
      </c>
      <c r="I12" s="69"/>
      <c r="J12" s="69"/>
      <c r="K12" s="69">
        <v>80</v>
      </c>
      <c r="L12" s="282"/>
      <c r="M12" s="69"/>
      <c r="N12" s="283"/>
      <c r="O12" s="287"/>
      <c r="P12" s="279"/>
      <c r="Q12" s="304"/>
      <c r="R12" s="882">
        <v>1.1000000000000001</v>
      </c>
      <c r="S12" s="1286">
        <v>0.32</v>
      </c>
      <c r="T12" s="1286">
        <v>7.0000000000000007E-2</v>
      </c>
      <c r="U12" s="286">
        <v>3.4</v>
      </c>
      <c r="V12" s="286"/>
      <c r="W12" s="286"/>
      <c r="X12" s="286">
        <v>3.6</v>
      </c>
      <c r="Y12" s="66"/>
      <c r="Z12" s="1284"/>
      <c r="AA12" s="305">
        <v>0.12</v>
      </c>
      <c r="AB12" s="771"/>
      <c r="AC12" s="85"/>
      <c r="AD12" s="1200"/>
      <c r="AE12" s="1201"/>
      <c r="AF12" s="1202"/>
    </row>
    <row r="13" spans="1:32" ht="15" customHeight="1">
      <c r="A13" s="71" t="s">
        <v>5</v>
      </c>
      <c r="B13" s="68"/>
      <c r="C13" s="69">
        <v>25</v>
      </c>
      <c r="D13" s="900">
        <f>Auslast_Büro!I13</f>
        <v>0.874</v>
      </c>
      <c r="E13" s="901">
        <v>17.5</v>
      </c>
      <c r="F13" s="279">
        <f t="shared" si="0"/>
        <v>17.5</v>
      </c>
      <c r="G13" s="280">
        <f>Auslast_Büro!J13</f>
        <v>0.77200000000000002</v>
      </c>
      <c r="H13" s="303">
        <v>0</v>
      </c>
      <c r="I13" s="69">
        <v>90</v>
      </c>
      <c r="J13" s="69"/>
      <c r="K13" s="69">
        <v>40</v>
      </c>
      <c r="L13" s="282"/>
      <c r="M13" s="69">
        <v>100</v>
      </c>
      <c r="N13" s="283"/>
      <c r="O13" s="474">
        <v>12.5</v>
      </c>
      <c r="P13" s="279">
        <f>O13*81600/$E$31</f>
        <v>12.5</v>
      </c>
      <c r="Q13" s="304"/>
      <c r="R13" s="882">
        <v>1.4</v>
      </c>
      <c r="S13" s="1287"/>
      <c r="T13" s="1287"/>
      <c r="U13" s="903">
        <v>1.5</v>
      </c>
      <c r="V13" s="286"/>
      <c r="W13" s="286"/>
      <c r="X13" s="286">
        <v>1.2</v>
      </c>
      <c r="Y13" s="66"/>
      <c r="Z13" s="1284"/>
      <c r="AA13" s="305">
        <v>0.15</v>
      </c>
      <c r="AB13" s="771"/>
      <c r="AC13" s="85"/>
      <c r="AD13" s="1200"/>
      <c r="AE13" s="1201"/>
      <c r="AF13" s="1202"/>
    </row>
    <row r="14" spans="1:32" ht="15" customHeight="1">
      <c r="A14" s="318" t="s">
        <v>17</v>
      </c>
      <c r="B14" s="68"/>
      <c r="C14" s="69">
        <v>22</v>
      </c>
      <c r="D14" s="900">
        <f>Auslast_Büro!I14</f>
        <v>0.873</v>
      </c>
      <c r="E14" s="901">
        <v>17.5</v>
      </c>
      <c r="F14" s="279">
        <f t="shared" si="0"/>
        <v>17.5</v>
      </c>
      <c r="G14" s="280">
        <f>Auslast_Büro!J14</f>
        <v>0.77200000000000002</v>
      </c>
      <c r="H14" s="303">
        <v>0</v>
      </c>
      <c r="I14" s="69">
        <v>100</v>
      </c>
      <c r="J14" s="69"/>
      <c r="K14" s="69">
        <v>70</v>
      </c>
      <c r="L14" s="282"/>
      <c r="M14" s="69">
        <v>120</v>
      </c>
      <c r="N14" s="283"/>
      <c r="O14" s="474">
        <v>12.5</v>
      </c>
      <c r="P14" s="279">
        <f>O14*81600/$E$31</f>
        <v>12.5</v>
      </c>
      <c r="Q14" s="304"/>
      <c r="R14" s="882">
        <v>1.2</v>
      </c>
      <c r="S14" s="1287"/>
      <c r="T14" s="1287"/>
      <c r="U14" s="903">
        <v>1.6</v>
      </c>
      <c r="V14" s="286"/>
      <c r="W14" s="286"/>
      <c r="X14" s="286">
        <v>1.3</v>
      </c>
      <c r="Y14" s="66"/>
      <c r="Z14" s="1284"/>
      <c r="AA14" s="305">
        <v>0.1</v>
      </c>
      <c r="AB14" s="771"/>
      <c r="AC14" s="85"/>
      <c r="AD14" s="1200"/>
      <c r="AE14" s="1201"/>
      <c r="AF14" s="1202"/>
    </row>
    <row r="15" spans="1:32" ht="15" customHeight="1">
      <c r="A15" s="71" t="s">
        <v>6</v>
      </c>
      <c r="B15" s="68"/>
      <c r="C15" s="69">
        <v>22</v>
      </c>
      <c r="D15" s="900">
        <f>Auslast_Büro!I15</f>
        <v>0.88700000000000001</v>
      </c>
      <c r="E15" s="901">
        <v>17.5</v>
      </c>
      <c r="F15" s="279">
        <f t="shared" si="0"/>
        <v>17.5</v>
      </c>
      <c r="G15" s="280">
        <f>Auslast_Büro!J15</f>
        <v>0.77500000000000002</v>
      </c>
      <c r="H15" s="303">
        <v>0</v>
      </c>
      <c r="I15" s="69">
        <v>40</v>
      </c>
      <c r="J15" s="69"/>
      <c r="K15" s="69">
        <v>20</v>
      </c>
      <c r="L15" s="282"/>
      <c r="M15" s="69">
        <v>70</v>
      </c>
      <c r="N15" s="283"/>
      <c r="O15" s="474">
        <v>8</v>
      </c>
      <c r="P15" s="279">
        <f>O15*81600/$E$31</f>
        <v>8</v>
      </c>
      <c r="Q15" s="304"/>
      <c r="R15" s="882">
        <v>1.1000000000000001</v>
      </c>
      <c r="S15" s="1287"/>
      <c r="T15" s="1287"/>
      <c r="U15" s="286">
        <v>1.2</v>
      </c>
      <c r="V15" s="286"/>
      <c r="W15" s="286">
        <v>0.4</v>
      </c>
      <c r="X15" s="286">
        <v>1.2</v>
      </c>
      <c r="Y15" s="66"/>
      <c r="Z15" s="1284"/>
      <c r="AA15" s="305">
        <v>0.05</v>
      </c>
      <c r="AB15" s="771"/>
      <c r="AC15" s="85"/>
      <c r="AD15" s="1200"/>
      <c r="AE15" s="1201"/>
      <c r="AF15" s="1202"/>
    </row>
    <row r="16" spans="1:32" ht="15" customHeight="1">
      <c r="A16" s="71" t="s">
        <v>7</v>
      </c>
      <c r="B16" s="68"/>
      <c r="C16" s="69">
        <v>22</v>
      </c>
      <c r="D16" s="900">
        <f>Auslast_Büro!I16</f>
        <v>0.879</v>
      </c>
      <c r="E16" s="901">
        <v>17.5</v>
      </c>
      <c r="F16" s="279">
        <f t="shared" si="0"/>
        <v>17.5</v>
      </c>
      <c r="G16" s="280">
        <f>Auslast_Büro!J16</f>
        <v>0.77200000000000002</v>
      </c>
      <c r="H16" s="303">
        <v>0</v>
      </c>
      <c r="I16" s="69">
        <v>100</v>
      </c>
      <c r="J16" s="69">
        <v>20</v>
      </c>
      <c r="K16" s="69">
        <v>70</v>
      </c>
      <c r="L16" s="282"/>
      <c r="M16" s="69">
        <v>120</v>
      </c>
      <c r="N16" s="283"/>
      <c r="O16" s="474">
        <v>12.5</v>
      </c>
      <c r="P16" s="279">
        <f>O16*81600/$E$31</f>
        <v>12.5</v>
      </c>
      <c r="Q16" s="304"/>
      <c r="R16" s="882">
        <v>1.1499999999999999</v>
      </c>
      <c r="S16" s="1287"/>
      <c r="T16" s="1287"/>
      <c r="U16" s="903">
        <v>1.6</v>
      </c>
      <c r="V16" s="286"/>
      <c r="W16" s="286"/>
      <c r="X16" s="286">
        <v>1.6</v>
      </c>
      <c r="Y16" s="66"/>
      <c r="Z16" s="1284"/>
      <c r="AA16" s="305">
        <v>0.1</v>
      </c>
      <c r="AB16" s="771"/>
      <c r="AC16" s="85"/>
      <c r="AD16" s="1200"/>
      <c r="AE16" s="1201"/>
      <c r="AF16" s="1202"/>
    </row>
    <row r="17" spans="1:32" ht="15" customHeight="1">
      <c r="A17" s="420" t="s">
        <v>105</v>
      </c>
      <c r="C17" s="69">
        <v>23</v>
      </c>
      <c r="D17" s="900">
        <f>Auslast_Büro!I17</f>
        <v>0.89</v>
      </c>
      <c r="E17" s="901">
        <v>15.5</v>
      </c>
      <c r="F17" s="279">
        <f t="shared" si="0"/>
        <v>15.5</v>
      </c>
      <c r="G17" s="280">
        <f>Auslast_Büro!J17</f>
        <v>0.77200000000000002</v>
      </c>
      <c r="H17" s="281"/>
      <c r="I17" s="69">
        <v>50</v>
      </c>
      <c r="J17" s="69"/>
      <c r="K17" s="69">
        <v>70</v>
      </c>
      <c r="L17" s="282"/>
      <c r="M17" s="69"/>
      <c r="N17" s="283"/>
      <c r="O17" s="474">
        <v>8</v>
      </c>
      <c r="P17" s="279">
        <f>O17*81600/$E$31</f>
        <v>8</v>
      </c>
      <c r="Q17" s="284"/>
      <c r="R17" s="882">
        <v>1.25</v>
      </c>
      <c r="S17" s="1288"/>
      <c r="T17" s="1288"/>
      <c r="U17" s="286">
        <v>0.3</v>
      </c>
      <c r="V17" s="286">
        <v>1</v>
      </c>
      <c r="W17" s="286"/>
      <c r="X17" s="286">
        <v>1.3</v>
      </c>
      <c r="Y17" s="65"/>
      <c r="Z17" s="1285"/>
      <c r="AA17" s="285">
        <v>0.1</v>
      </c>
      <c r="AB17" s="85"/>
      <c r="AC17" s="85"/>
      <c r="AD17" s="1200"/>
      <c r="AE17" s="1201"/>
      <c r="AF17" s="1202"/>
    </row>
    <row r="18" spans="1:32" ht="6.75" customHeight="1">
      <c r="C18" s="300"/>
      <c r="D18" s="300"/>
      <c r="E18" s="301"/>
      <c r="F18" s="302"/>
      <c r="G18" s="300"/>
      <c r="I18" s="70"/>
      <c r="J18" s="70"/>
      <c r="K18" s="70"/>
      <c r="L18" s="291"/>
      <c r="M18" s="291"/>
      <c r="N18" s="291"/>
      <c r="O18" s="292"/>
      <c r="P18" s="302"/>
      <c r="R18" s="70"/>
      <c r="S18" s="70"/>
      <c r="T18" s="70"/>
      <c r="U18" s="70"/>
      <c r="V18" s="70"/>
      <c r="W18" s="70"/>
      <c r="X18" s="70"/>
      <c r="Z18" s="72"/>
      <c r="AA18" s="70"/>
      <c r="AD18" s="1054"/>
      <c r="AE18" s="1203"/>
      <c r="AF18" s="1204"/>
    </row>
    <row r="19" spans="1:32" ht="12.75" customHeight="1">
      <c r="A19" s="476" t="s">
        <v>128</v>
      </c>
      <c r="B19" s="306"/>
      <c r="C19" s="308"/>
      <c r="D19" s="308"/>
      <c r="E19" s="308"/>
      <c r="F19" s="309"/>
      <c r="G19" s="307"/>
      <c r="H19" s="306"/>
      <c r="I19" s="310"/>
      <c r="J19" s="310"/>
      <c r="K19" s="310"/>
      <c r="L19" s="311"/>
      <c r="M19" s="311"/>
      <c r="N19" s="311"/>
      <c r="O19" s="312"/>
      <c r="P19" s="310"/>
      <c r="Q19" s="306"/>
      <c r="R19" s="310"/>
      <c r="S19" s="310"/>
      <c r="T19" s="310"/>
      <c r="U19" s="310"/>
      <c r="V19" s="310"/>
      <c r="W19" s="310"/>
      <c r="X19" s="310"/>
      <c r="Y19" s="306"/>
      <c r="Z19" s="310"/>
      <c r="AA19" s="310"/>
      <c r="AD19" s="1054"/>
      <c r="AE19" s="1203"/>
      <c r="AF19" s="1204"/>
    </row>
    <row r="20" spans="1:32" ht="2.25" customHeight="1">
      <c r="C20" s="300"/>
      <c r="D20" s="300"/>
      <c r="E20" s="301"/>
      <c r="F20" s="302"/>
      <c r="G20" s="300"/>
      <c r="I20" s="70"/>
      <c r="J20" s="70"/>
      <c r="K20" s="70"/>
      <c r="L20" s="291"/>
      <c r="M20" s="291"/>
      <c r="N20" s="291"/>
      <c r="O20" s="292"/>
      <c r="P20" s="302"/>
      <c r="R20" s="70"/>
      <c r="S20" s="70"/>
      <c r="T20" s="70"/>
      <c r="U20" s="70"/>
      <c r="V20" s="70"/>
      <c r="W20" s="70"/>
      <c r="X20" s="70"/>
      <c r="Z20" s="70"/>
      <c r="AA20" s="70"/>
      <c r="AB20" s="771"/>
      <c r="AD20" s="1208"/>
      <c r="AE20" s="1209"/>
      <c r="AF20" s="1210"/>
    </row>
    <row r="21" spans="1:32" ht="15" customHeight="1">
      <c r="A21" s="73" t="s">
        <v>21</v>
      </c>
      <c r="B21" s="68"/>
      <c r="C21" s="902">
        <v>25</v>
      </c>
      <c r="D21" s="900">
        <f>Auslast_Büro!I21</f>
        <v>0.89700000000000002</v>
      </c>
      <c r="E21" s="901">
        <v>13.5</v>
      </c>
      <c r="F21" s="279">
        <f>E21*81600/$E$31</f>
        <v>13.5</v>
      </c>
      <c r="G21" s="280">
        <f>Auslast_Büro!J21</f>
        <v>0.78100000000000003</v>
      </c>
      <c r="H21" s="289"/>
      <c r="I21" s="69">
        <v>60</v>
      </c>
      <c r="J21" s="69"/>
      <c r="K21" s="69">
        <v>40</v>
      </c>
      <c r="L21" s="282"/>
      <c r="M21" s="69">
        <v>80</v>
      </c>
      <c r="N21" s="283"/>
      <c r="O21" s="313"/>
      <c r="P21" s="279"/>
      <c r="Q21" s="289">
        <v>0</v>
      </c>
      <c r="R21" s="883">
        <v>0.8</v>
      </c>
      <c r="S21" s="904">
        <v>0.36</v>
      </c>
      <c r="T21" s="904">
        <v>7.0000000000000007E-2</v>
      </c>
      <c r="U21" s="421">
        <v>3</v>
      </c>
      <c r="V21" s="421"/>
      <c r="W21" s="421"/>
      <c r="X21" s="421">
        <v>2.5</v>
      </c>
      <c r="Y21" s="290"/>
      <c r="Z21" s="1274">
        <v>2.5000000000000001E-2</v>
      </c>
      <c r="AA21" s="285">
        <v>0.12</v>
      </c>
      <c r="AB21" s="771"/>
      <c r="AD21" s="1200"/>
      <c r="AE21" s="1201"/>
      <c r="AF21" s="1202"/>
    </row>
    <row r="22" spans="1:32" ht="2.25" customHeight="1">
      <c r="C22" s="300"/>
      <c r="D22" s="300"/>
      <c r="E22" s="301"/>
      <c r="F22" s="302"/>
      <c r="G22" s="300"/>
      <c r="I22" s="70"/>
      <c r="J22" s="70"/>
      <c r="K22" s="70"/>
      <c r="L22" s="291"/>
      <c r="M22" s="291"/>
      <c r="N22" s="291"/>
      <c r="O22" s="292"/>
      <c r="P22" s="302"/>
      <c r="R22" s="70"/>
      <c r="S22" s="70"/>
      <c r="T22" s="70"/>
      <c r="U22" s="70"/>
      <c r="V22" s="70"/>
      <c r="W22" s="70"/>
      <c r="X22" s="70"/>
      <c r="Z22" s="1275"/>
      <c r="AA22" s="70"/>
      <c r="AB22" s="771"/>
      <c r="AD22" s="1208"/>
      <c r="AE22" s="1209"/>
      <c r="AF22" s="1210"/>
    </row>
    <row r="23" spans="1:32" ht="15" customHeight="1">
      <c r="A23" s="420" t="s">
        <v>106</v>
      </c>
      <c r="B23" s="64"/>
      <c r="C23" s="69">
        <v>25</v>
      </c>
      <c r="D23" s="900">
        <f>Auslast_Büro!I22</f>
        <v>0.86799999999999999</v>
      </c>
      <c r="E23" s="901">
        <v>17.5</v>
      </c>
      <c r="F23" s="279">
        <f>E23*81600/$E$31</f>
        <v>17.5</v>
      </c>
      <c r="G23" s="280">
        <f>Auslast_Büro!J22</f>
        <v>0.78100000000000003</v>
      </c>
      <c r="H23" s="281"/>
      <c r="I23" s="69">
        <v>60</v>
      </c>
      <c r="J23" s="69"/>
      <c r="K23" s="69">
        <v>20</v>
      </c>
      <c r="L23" s="282"/>
      <c r="M23" s="69">
        <v>70</v>
      </c>
      <c r="N23" s="283"/>
      <c r="O23" s="474">
        <v>8</v>
      </c>
      <c r="P23" s="279">
        <f>O23*81600/$E$31</f>
        <v>8</v>
      </c>
      <c r="Q23" s="284"/>
      <c r="R23" s="882">
        <v>1.2</v>
      </c>
      <c r="S23" s="904">
        <v>0.25</v>
      </c>
      <c r="T23" s="904">
        <v>0.18</v>
      </c>
      <c r="U23" s="286">
        <v>1.8</v>
      </c>
      <c r="V23" s="286"/>
      <c r="W23" s="286"/>
      <c r="X23" s="286">
        <v>1.1000000000000001</v>
      </c>
      <c r="Y23" s="65"/>
      <c r="Z23" s="1275"/>
      <c r="AA23" s="285">
        <v>0.1</v>
      </c>
      <c r="AB23" s="771"/>
      <c r="AD23" s="1200"/>
      <c r="AE23" s="1201"/>
      <c r="AF23" s="1202"/>
    </row>
    <row r="24" spans="1:32" ht="15" customHeight="1">
      <c r="A24" s="288" t="s">
        <v>271</v>
      </c>
      <c r="B24" s="68"/>
      <c r="C24" s="902">
        <v>25</v>
      </c>
      <c r="D24" s="900">
        <f>Auslast_Büro!I23</f>
        <v>0.88300000000000001</v>
      </c>
      <c r="E24" s="901">
        <v>13.5</v>
      </c>
      <c r="F24" s="279">
        <f>E24*81600/$E$31</f>
        <v>13.5</v>
      </c>
      <c r="G24" s="280">
        <f>Auslast_Büro!J23</f>
        <v>0.78100000000000003</v>
      </c>
      <c r="H24" s="289"/>
      <c r="I24" s="69"/>
      <c r="J24" s="69"/>
      <c r="K24" s="69"/>
      <c r="L24" s="282"/>
      <c r="M24" s="69"/>
      <c r="N24" s="283"/>
      <c r="O24" s="313"/>
      <c r="P24" s="279"/>
      <c r="Q24" s="289">
        <v>0</v>
      </c>
      <c r="R24" s="884">
        <v>1.1000000000000001</v>
      </c>
      <c r="S24" s="904">
        <v>0.28999999999999998</v>
      </c>
      <c r="T24" s="904">
        <v>0.18</v>
      </c>
      <c r="U24" s="286">
        <v>0.5</v>
      </c>
      <c r="V24" s="286">
        <f>1.6-U24</f>
        <v>1.1000000000000001</v>
      </c>
      <c r="W24" s="286">
        <f>3.5-U24</f>
        <v>3</v>
      </c>
      <c r="X24" s="286">
        <v>0.5</v>
      </c>
      <c r="Y24" s="290"/>
      <c r="Z24" s="1275"/>
      <c r="AA24" s="285">
        <v>0.15</v>
      </c>
      <c r="AB24" s="771"/>
      <c r="AD24" s="1200"/>
      <c r="AE24" s="1201"/>
      <c r="AF24" s="1202"/>
    </row>
    <row r="25" spans="1:32" ht="2.25" customHeight="1">
      <c r="C25" s="300"/>
      <c r="D25" s="300"/>
      <c r="E25" s="301"/>
      <c r="F25" s="302"/>
      <c r="G25" s="300"/>
      <c r="I25" s="70"/>
      <c r="J25" s="70"/>
      <c r="K25" s="70"/>
      <c r="L25" s="291"/>
      <c r="M25" s="291"/>
      <c r="N25" s="291"/>
      <c r="O25" s="292"/>
      <c r="P25" s="302"/>
      <c r="R25" s="70"/>
      <c r="S25" s="70"/>
      <c r="T25" s="70"/>
      <c r="U25" s="70"/>
      <c r="V25" s="70"/>
      <c r="W25" s="70"/>
      <c r="X25" s="70"/>
      <c r="Z25" s="1275"/>
      <c r="AA25" s="70"/>
      <c r="AD25" s="1208"/>
      <c r="AE25" s="1209"/>
      <c r="AF25" s="1210"/>
    </row>
    <row r="26" spans="1:32" ht="15" customHeight="1">
      <c r="A26" s="288" t="s">
        <v>188</v>
      </c>
      <c r="B26" s="68"/>
      <c r="C26" s="902">
        <v>24</v>
      </c>
      <c r="D26" s="900">
        <f>Auslast_Büro!I24</f>
        <v>0.88300000000000001</v>
      </c>
      <c r="E26" s="901">
        <v>13.5</v>
      </c>
      <c r="F26" s="279">
        <f>E26*81600/$E$31</f>
        <v>13.5</v>
      </c>
      <c r="G26" s="280">
        <f>Auslast_Büro!J24</f>
        <v>0.78100000000000003</v>
      </c>
      <c r="H26" s="289"/>
      <c r="I26" s="69">
        <v>50</v>
      </c>
      <c r="J26" s="69"/>
      <c r="K26" s="69">
        <v>30</v>
      </c>
      <c r="L26" s="282"/>
      <c r="M26" s="69">
        <v>80</v>
      </c>
      <c r="N26" s="283"/>
      <c r="O26" s="313"/>
      <c r="P26" s="279"/>
      <c r="Q26" s="289">
        <v>0</v>
      </c>
      <c r="R26" s="884">
        <v>1.2</v>
      </c>
      <c r="S26" s="904">
        <v>0.27</v>
      </c>
      <c r="T26" s="904">
        <v>0.16</v>
      </c>
      <c r="U26" s="286">
        <v>0.3</v>
      </c>
      <c r="V26" s="314"/>
      <c r="W26" s="314"/>
      <c r="X26" s="286">
        <v>0.3</v>
      </c>
      <c r="Y26" s="290"/>
      <c r="Z26" s="1275"/>
      <c r="AA26" s="285">
        <v>0.1</v>
      </c>
      <c r="AD26" s="1200"/>
      <c r="AE26" s="1201"/>
      <c r="AF26" s="1202"/>
    </row>
    <row r="27" spans="1:32" ht="15" customHeight="1">
      <c r="A27" s="73" t="s">
        <v>10</v>
      </c>
      <c r="B27" s="68"/>
      <c r="C27" s="902">
        <v>23</v>
      </c>
      <c r="D27" s="900">
        <f>Auslast_Büro!I25</f>
        <v>0.89</v>
      </c>
      <c r="E27" s="901">
        <v>13.5</v>
      </c>
      <c r="F27" s="279">
        <f>E27*81600/$E$31</f>
        <v>13.5</v>
      </c>
      <c r="G27" s="280">
        <f>Auslast_Büro!J25</f>
        <v>0.78100000000000003</v>
      </c>
      <c r="H27" s="289"/>
      <c r="I27" s="69"/>
      <c r="J27" s="69"/>
      <c r="K27" s="69">
        <v>30</v>
      </c>
      <c r="L27" s="282"/>
      <c r="M27" s="69"/>
      <c r="N27" s="283"/>
      <c r="O27" s="313"/>
      <c r="P27" s="279"/>
      <c r="Q27" s="289">
        <v>0</v>
      </c>
      <c r="R27" s="884">
        <v>1.25</v>
      </c>
      <c r="S27" s="904">
        <v>0.25</v>
      </c>
      <c r="T27" s="904">
        <v>0.11</v>
      </c>
      <c r="U27" s="286">
        <v>0.3</v>
      </c>
      <c r="V27" s="286"/>
      <c r="W27" s="286"/>
      <c r="X27" s="286">
        <v>0.3</v>
      </c>
      <c r="Y27" s="290"/>
      <c r="Z27" s="1276"/>
      <c r="AA27" s="285">
        <v>0.1</v>
      </c>
      <c r="AD27" s="1200"/>
      <c r="AE27" s="1201"/>
      <c r="AF27" s="1202"/>
    </row>
    <row r="28" spans="1:32" ht="3.75" customHeight="1">
      <c r="A28" s="74"/>
      <c r="B28" s="66"/>
      <c r="C28" s="74"/>
      <c r="D28" s="74"/>
      <c r="E28" s="74"/>
      <c r="F28" s="66"/>
      <c r="G28" s="66"/>
      <c r="H28" s="66"/>
      <c r="I28" s="66"/>
      <c r="J28" s="75"/>
      <c r="K28" s="75"/>
      <c r="L28" s="75"/>
      <c r="M28" s="75"/>
      <c r="N28" s="75"/>
      <c r="O28" s="75"/>
      <c r="P28" s="75"/>
      <c r="Q28" s="315"/>
      <c r="R28" s="75"/>
      <c r="S28" s="75"/>
      <c r="T28" s="75"/>
      <c r="U28" s="75"/>
      <c r="V28" s="75"/>
      <c r="W28" s="75"/>
      <c r="X28" s="75"/>
      <c r="Y28" s="63"/>
      <c r="Z28" s="75"/>
      <c r="AA28" s="75"/>
      <c r="AD28" s="1213"/>
      <c r="AE28" s="1214"/>
      <c r="AF28" s="1215"/>
    </row>
    <row r="29" spans="1:32" s="78" customFormat="1" ht="13" customHeight="1">
      <c r="D29" s="246" t="s">
        <v>56</v>
      </c>
      <c r="E29" s="1250">
        <v>81600</v>
      </c>
      <c r="F29" s="1251"/>
      <c r="G29" s="76"/>
      <c r="H29" s="76"/>
      <c r="I29" s="76"/>
      <c r="J29" s="316"/>
      <c r="K29" s="316"/>
      <c r="L29" s="316"/>
      <c r="M29" s="316"/>
      <c r="N29" s="316"/>
      <c r="O29" s="316"/>
      <c r="P29" s="236" t="s">
        <v>192</v>
      </c>
      <c r="R29" s="769">
        <v>0.06</v>
      </c>
      <c r="S29" s="316"/>
      <c r="T29" s="316"/>
      <c r="V29" s="63"/>
      <c r="W29" s="63"/>
      <c r="X29" s="316"/>
      <c r="Y29" s="316"/>
      <c r="Z29" s="316"/>
      <c r="AA29" s="123"/>
      <c r="AB29" s="83"/>
      <c r="AC29" s="83"/>
      <c r="AD29" s="1209"/>
      <c r="AE29" s="1209"/>
      <c r="AF29" s="1216"/>
    </row>
    <row r="30" spans="1:32" s="78" customFormat="1" ht="13" customHeight="1">
      <c r="D30" s="246" t="s">
        <v>119</v>
      </c>
      <c r="E30" s="854"/>
      <c r="F30" s="855"/>
      <c r="G30" s="76"/>
      <c r="H30" s="76"/>
      <c r="I30" s="76"/>
      <c r="J30" s="63"/>
      <c r="K30" s="63"/>
      <c r="P30" s="236" t="s">
        <v>232</v>
      </c>
      <c r="Q30" s="236"/>
      <c r="R30" s="856">
        <v>0.67</v>
      </c>
      <c r="S30" s="316"/>
      <c r="T30" s="316"/>
      <c r="V30" s="63"/>
      <c r="W30" s="63"/>
      <c r="X30" s="316"/>
      <c r="Y30" s="316"/>
      <c r="Z30" s="316"/>
      <c r="AA30" s="316"/>
      <c r="AB30" s="83"/>
      <c r="AC30" s="83"/>
    </row>
    <row r="31" spans="1:32" ht="13" customHeight="1">
      <c r="D31" s="63"/>
      <c r="E31" s="1252">
        <f>E29</f>
        <v>81600</v>
      </c>
      <c r="F31" s="1253"/>
      <c r="AD31" s="78"/>
      <c r="AE31" s="78"/>
      <c r="AF31" s="78"/>
    </row>
    <row r="32" spans="1:32">
      <c r="AD32" s="78"/>
      <c r="AE32" s="78"/>
      <c r="AF32" s="78"/>
    </row>
    <row r="33" spans="1:32" ht="15" customHeight="1">
      <c r="A33" s="927" t="s">
        <v>103</v>
      </c>
      <c r="AA33" s="1060" t="str">
        <f>HAW!B28</f>
        <v>Kennwertverfahren NRW für HAW; HIS-Institut für Hochschulentwicklung e.V. (24.04.2026)</v>
      </c>
      <c r="AD33" s="78"/>
      <c r="AE33" s="78"/>
      <c r="AF33" s="78"/>
    </row>
    <row r="34" spans="1:32">
      <c r="AD34" s="78"/>
      <c r="AE34" s="78"/>
      <c r="AF34" s="78"/>
    </row>
    <row r="35" spans="1:32">
      <c r="AD35" s="78"/>
      <c r="AE35" s="78"/>
      <c r="AF35" s="78"/>
    </row>
    <row r="36" spans="1:32">
      <c r="AD36" s="78"/>
      <c r="AE36" s="78"/>
      <c r="AF36" s="78"/>
    </row>
    <row r="37" spans="1:32">
      <c r="AD37" s="78"/>
      <c r="AE37" s="78"/>
      <c r="AF37" s="78"/>
    </row>
    <row r="38" spans="1:32">
      <c r="AD38" s="78"/>
      <c r="AE38" s="78"/>
      <c r="AF38" s="78"/>
    </row>
    <row r="39" spans="1:32">
      <c r="AD39" s="78"/>
      <c r="AE39" s="78"/>
      <c r="AF39" s="78"/>
    </row>
    <row r="40" spans="1:32">
      <c r="AB40" s="78"/>
      <c r="AC40" s="78"/>
      <c r="AD40" s="78"/>
      <c r="AE40" s="78"/>
      <c r="AF40" s="78"/>
    </row>
    <row r="41" spans="1:32">
      <c r="AB41" s="78"/>
      <c r="AC41" s="78"/>
      <c r="AD41" s="78"/>
      <c r="AE41" s="78"/>
      <c r="AF41" s="78"/>
    </row>
    <row r="49" spans="28:32">
      <c r="AB49" s="78"/>
      <c r="AC49" s="78"/>
      <c r="AD49" s="78"/>
      <c r="AE49" s="78"/>
      <c r="AF49" s="78"/>
    </row>
    <row r="84" spans="1:32" ht="13">
      <c r="A84" s="66"/>
      <c r="B84" s="79"/>
      <c r="C84" s="317"/>
      <c r="D84" s="317"/>
      <c r="E84" s="66"/>
      <c r="F84" s="66"/>
      <c r="G84" s="66"/>
      <c r="H84" s="66"/>
      <c r="I84" s="66"/>
      <c r="Q84" s="66"/>
      <c r="Y84" s="66"/>
    </row>
    <row r="91" spans="1:32" s="66" customFormat="1" ht="15" customHeight="1">
      <c r="A91" s="59"/>
      <c r="B91" s="59"/>
      <c r="C91" s="59"/>
      <c r="D91" s="59"/>
      <c r="E91" s="59"/>
      <c r="F91" s="59"/>
      <c r="G91" s="59"/>
      <c r="H91" s="59"/>
      <c r="I91" s="59"/>
      <c r="J91" s="63"/>
      <c r="K91" s="63"/>
      <c r="L91" s="63"/>
      <c r="M91" s="63"/>
      <c r="N91" s="63"/>
      <c r="O91" s="63"/>
      <c r="P91" s="63"/>
      <c r="Q91" s="59"/>
      <c r="R91" s="63"/>
      <c r="S91" s="63"/>
      <c r="T91" s="63"/>
      <c r="U91" s="63"/>
      <c r="V91" s="63"/>
      <c r="W91" s="63"/>
      <c r="X91" s="63"/>
      <c r="Y91" s="59"/>
      <c r="Z91" s="63"/>
      <c r="AA91" s="63"/>
      <c r="AB91" s="83"/>
      <c r="AC91" s="83"/>
      <c r="AD91" s="83"/>
      <c r="AE91" s="83"/>
      <c r="AF91" s="83"/>
    </row>
    <row r="102" spans="28:32">
      <c r="AB102" s="85"/>
      <c r="AC102" s="85"/>
      <c r="AD102" s="85"/>
      <c r="AE102" s="85"/>
      <c r="AF102" s="85"/>
    </row>
  </sheetData>
  <sheetProtection algorithmName="SHA-512" hashValue="bcXwVgsaUgzTwdQxC9a4IUlXrTJ1CSLUGPYR5MrjEwH8rwdNOwA2G0sOaOo+oyzZPiYKu4PicE4NDMqT+yW+9w==" saltValue="I1TurcXtjfY+79gdtIxkZg==" spinCount="100000" sheet="1" selectLockedCells="1"/>
  <mergeCells count="22">
    <mergeCell ref="U2:W3"/>
    <mergeCell ref="Z9:Z17"/>
    <mergeCell ref="S12:S17"/>
    <mergeCell ref="T12:T17"/>
    <mergeCell ref="T9:T10"/>
    <mergeCell ref="S9:S10"/>
    <mergeCell ref="I3:I4"/>
    <mergeCell ref="E29:F29"/>
    <mergeCell ref="E31:F31"/>
    <mergeCell ref="A1:A4"/>
    <mergeCell ref="Z1:AA2"/>
    <mergeCell ref="X2:X4"/>
    <mergeCell ref="C3:C4"/>
    <mergeCell ref="D3:D4"/>
    <mergeCell ref="E3:F3"/>
    <mergeCell ref="G3:G4"/>
    <mergeCell ref="K3:L3"/>
    <mergeCell ref="M3:N3"/>
    <mergeCell ref="O2:P3"/>
    <mergeCell ref="R3:R4"/>
    <mergeCell ref="Z21:Z27"/>
    <mergeCell ref="S3:T3"/>
  </mergeCells>
  <conditionalFormatting sqref="C12:E17">
    <cfRule type="cellIs" dxfId="171" priority="8" stopIfTrue="1" operator="equal">
      <formula>#REF!</formula>
    </cfRule>
  </conditionalFormatting>
  <conditionalFormatting sqref="C10:R10">
    <cfRule type="cellIs" dxfId="170" priority="9" stopIfTrue="1" operator="equal">
      <formula>#REF!</formula>
    </cfRule>
  </conditionalFormatting>
  <conditionalFormatting sqref="C9:U9 U10">
    <cfRule type="cellIs" dxfId="169" priority="41" stopIfTrue="1" operator="equal">
      <formula>#REF!</formula>
    </cfRule>
  </conditionalFormatting>
  <conditionalFormatting sqref="C21:X21">
    <cfRule type="cellIs" dxfId="168" priority="3" stopIfTrue="1" operator="equal">
      <formula>#REF!</formula>
    </cfRule>
  </conditionalFormatting>
  <conditionalFormatting sqref="C23:X24">
    <cfRule type="cellIs" dxfId="167" priority="2" stopIfTrue="1" operator="equal">
      <formula>#REF!</formula>
    </cfRule>
  </conditionalFormatting>
  <conditionalFormatting sqref="C26:X27">
    <cfRule type="cellIs" dxfId="166" priority="1" stopIfTrue="1" operator="equal">
      <formula>#REF!</formula>
    </cfRule>
  </conditionalFormatting>
  <conditionalFormatting sqref="F13:R17">
    <cfRule type="cellIs" dxfId="165" priority="4" stopIfTrue="1" operator="equal">
      <formula>#REF!</formula>
    </cfRule>
  </conditionalFormatting>
  <conditionalFormatting sqref="F12:X12">
    <cfRule type="cellIs" dxfId="164" priority="32" stopIfTrue="1" operator="equal">
      <formula>#REF!</formula>
    </cfRule>
  </conditionalFormatting>
  <conditionalFormatting sqref="R29">
    <cfRule type="cellIs" dxfId="163" priority="11" stopIfTrue="1" operator="equal">
      <formula>#REF!</formula>
    </cfRule>
  </conditionalFormatting>
  <conditionalFormatting sqref="U13:X17">
    <cfRule type="cellIs" dxfId="162" priority="19" stopIfTrue="1" operator="equal">
      <formula>#REF!</formula>
    </cfRule>
  </conditionalFormatting>
  <conditionalFormatting sqref="V9:X10">
    <cfRule type="cellIs" dxfId="161" priority="27" stopIfTrue="1" operator="equal">
      <formula>#REF!</formula>
    </cfRule>
  </conditionalFormatting>
  <pageMargins left="0.78740157480314965" right="0.78740157480314965" top="0.78740157480314965" bottom="0.59055118110236227" header="0.51181102362204722" footer="0.27559055118110237"/>
  <pageSetup paperSize="9" scale="81" orientation="landscape" r:id="rId1"/>
  <headerFooter alignWithMargins="0">
    <oddFooter>&amp;C&amp;8Seite &amp;P von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CE12B-699A-41EE-A846-C6CE5708B025}">
  <sheetPr codeName="Tabelle17">
    <tabColor theme="6" tint="-0.249977111117893"/>
  </sheetPr>
  <dimension ref="A1:X126"/>
  <sheetViews>
    <sheetView showGridLines="0" showZeros="0" zoomScale="115" zoomScaleNormal="115" zoomScaleSheetLayoutView="115" workbookViewId="0">
      <selection activeCell="B9" sqref="B9"/>
    </sheetView>
  </sheetViews>
  <sheetFormatPr baseColWidth="10" defaultColWidth="11.453125" defaultRowHeight="10"/>
  <cols>
    <col min="1" max="1" width="0.54296875" style="1" customWidth="1"/>
    <col min="2" max="2" width="9.54296875" style="1" customWidth="1"/>
    <col min="3" max="3" width="6.54296875" style="1" customWidth="1"/>
    <col min="4" max="4" width="5.54296875" style="1" customWidth="1"/>
    <col min="5" max="5" width="5.453125" style="1" customWidth="1"/>
    <col min="6" max="6" width="1.81640625" style="1" customWidth="1"/>
    <col min="7" max="7" width="1.453125" style="1" customWidth="1"/>
    <col min="8" max="9" width="7.453125" style="1" customWidth="1"/>
    <col min="10" max="10" width="7.453125" style="42" customWidth="1"/>
    <col min="11" max="11" width="7.453125" style="1" customWidth="1"/>
    <col min="12" max="12" width="7.453125" style="42" customWidth="1"/>
    <col min="13" max="13" width="7.453125" style="1" customWidth="1"/>
    <col min="14" max="15" width="7.453125" style="42" customWidth="1"/>
    <col min="16" max="16" width="8.54296875" style="42" customWidth="1"/>
    <col min="17" max="17" width="7.453125" style="42" customWidth="1"/>
    <col min="18" max="18" width="0.81640625" style="42" customWidth="1"/>
    <col min="19" max="19" width="7.453125" style="42" customWidth="1"/>
    <col min="20" max="20" width="1.1796875" style="1" customWidth="1"/>
    <col min="21" max="21" width="7.1796875" style="202" customWidth="1"/>
    <col min="22" max="24" width="7.26953125" style="202" customWidth="1"/>
    <col min="25" max="16384" width="11.453125" style="1"/>
  </cols>
  <sheetData>
    <row r="1" spans="1:24" ht="13" customHeight="1">
      <c r="A1" s="7"/>
      <c r="B1" s="8"/>
      <c r="C1" s="8"/>
      <c r="D1" s="8"/>
      <c r="E1" s="8"/>
      <c r="F1" s="9"/>
      <c r="H1" s="214"/>
      <c r="I1" s="216"/>
      <c r="J1" s="108"/>
      <c r="K1" s="9"/>
      <c r="L1" s="1364" t="s">
        <v>57</v>
      </c>
      <c r="M1" s="1364" t="s">
        <v>108</v>
      </c>
      <c r="N1" s="1364" t="s">
        <v>126</v>
      </c>
      <c r="O1" s="1364" t="s">
        <v>58</v>
      </c>
      <c r="P1" s="1356" t="s">
        <v>11</v>
      </c>
      <c r="Q1" s="1358" t="s">
        <v>113</v>
      </c>
      <c r="R1" s="341"/>
      <c r="S1" s="332"/>
    </row>
    <row r="2" spans="1:24" ht="38.15" customHeight="1">
      <c r="A2" s="13"/>
      <c r="B2" s="2" t="s">
        <v>24</v>
      </c>
      <c r="C2" s="96"/>
      <c r="D2" s="96"/>
      <c r="E2" s="96"/>
      <c r="F2" s="97"/>
      <c r="H2" s="210" t="s">
        <v>111</v>
      </c>
      <c r="I2" s="3"/>
      <c r="J2" s="49"/>
      <c r="K2" s="14"/>
      <c r="L2" s="1365"/>
      <c r="M2" s="1365"/>
      <c r="N2" s="1365"/>
      <c r="O2" s="1365"/>
      <c r="P2" s="1357"/>
      <c r="Q2" s="1359"/>
      <c r="R2" s="341"/>
      <c r="S2" s="332"/>
      <c r="V2" s="12" t="s">
        <v>863</v>
      </c>
    </row>
    <row r="3" spans="1:24" ht="3" customHeight="1">
      <c r="A3" s="98"/>
      <c r="B3" s="99"/>
      <c r="C3" s="99"/>
      <c r="D3" s="99"/>
      <c r="E3" s="99"/>
      <c r="F3" s="100"/>
      <c r="H3" s="215"/>
      <c r="I3" s="217"/>
      <c r="J3" s="218"/>
      <c r="K3" s="100"/>
      <c r="L3" s="4"/>
      <c r="M3" s="4"/>
      <c r="N3" s="4"/>
      <c r="O3" s="4"/>
      <c r="P3" s="5"/>
      <c r="Q3" s="6"/>
      <c r="R3" s="333"/>
      <c r="S3" s="333"/>
    </row>
    <row r="4" spans="1:24">
      <c r="A4" s="2"/>
      <c r="B4" s="2"/>
      <c r="C4" s="2"/>
      <c r="D4" s="2"/>
      <c r="E4" s="2"/>
      <c r="F4" s="2"/>
      <c r="H4" s="3"/>
      <c r="I4" s="3"/>
      <c r="K4" s="10"/>
      <c r="L4" s="11"/>
      <c r="M4" s="3"/>
      <c r="N4" s="11"/>
      <c r="O4" s="11"/>
      <c r="P4" s="11"/>
      <c r="Q4" s="12"/>
      <c r="R4" s="12"/>
      <c r="S4" s="12"/>
    </row>
    <row r="5" spans="1:24" ht="11.25" customHeight="1">
      <c r="A5" s="7"/>
      <c r="B5" s="8"/>
      <c r="C5" s="8"/>
      <c r="D5" s="8"/>
      <c r="E5" s="8"/>
      <c r="F5" s="9"/>
      <c r="H5" s="15" t="s">
        <v>87</v>
      </c>
      <c r="I5" s="3"/>
      <c r="K5" s="10"/>
      <c r="L5" s="11"/>
      <c r="M5" s="3"/>
      <c r="N5" s="11"/>
      <c r="O5" s="11"/>
      <c r="P5" s="11"/>
      <c r="Q5" s="12"/>
      <c r="R5" s="12"/>
      <c r="S5" s="12"/>
      <c r="V5" s="1225"/>
      <c r="W5" s="1226"/>
      <c r="X5" s="1227"/>
    </row>
    <row r="6" spans="1:24" s="19" customFormat="1" ht="11.5" customHeight="1">
      <c r="A6" s="16"/>
      <c r="B6" s="24"/>
      <c r="C6" s="17"/>
      <c r="D6" s="17"/>
      <c r="E6" s="17"/>
      <c r="F6" s="18"/>
      <c r="H6" s="203" t="s">
        <v>0</v>
      </c>
      <c r="I6" s="17"/>
      <c r="L6" s="339">
        <f>IF(E15&gt;0,E15,0)</f>
        <v>0</v>
      </c>
      <c r="M6" s="20">
        <f>IF(E15&gt;0,'HAW-Kennwerte'!C27,0)</f>
        <v>0</v>
      </c>
      <c r="N6" s="205">
        <f>IF(L6&gt;0,IF(E21="ja",'HAW-Kennwerte'!D27,1),0)</f>
        <v>0</v>
      </c>
      <c r="O6" s="22"/>
      <c r="P6" s="23">
        <f>L6*M6*N6</f>
        <v>0</v>
      </c>
      <c r="Q6" s="328">
        <f>IF(P6&gt;0,'HAW-Kennwerte'!Z21,0)</f>
        <v>0</v>
      </c>
      <c r="R6" s="328"/>
      <c r="S6" s="328"/>
      <c r="U6" s="203"/>
      <c r="V6" s="1200"/>
      <c r="W6" s="1201"/>
      <c r="X6" s="1202"/>
    </row>
    <row r="7" spans="1:24" s="19" customFormat="1" ht="11.5" customHeight="1">
      <c r="A7" s="16"/>
      <c r="B7" s="928" t="str">
        <f>HAW!B4</f>
        <v>Hochschule …</v>
      </c>
      <c r="C7" s="928"/>
      <c r="D7" s="928"/>
      <c r="E7" s="928"/>
      <c r="F7" s="18"/>
      <c r="H7" s="203" t="s">
        <v>1</v>
      </c>
      <c r="I7" s="17"/>
      <c r="L7" s="340">
        <f>E23</f>
        <v>0</v>
      </c>
      <c r="M7" s="20">
        <f>IF(L7&gt;0,'HAW-Kennwerte'!K27,0)</f>
        <v>0</v>
      </c>
      <c r="N7" s="25"/>
      <c r="O7" s="22"/>
      <c r="P7" s="27">
        <f>L7*M7</f>
        <v>0</v>
      </c>
      <c r="Q7" s="329">
        <f>IF(P7&gt;0,'HAW-Kennwerte'!AA27,0)</f>
        <v>0</v>
      </c>
      <c r="R7" s="329"/>
      <c r="S7" s="329"/>
      <c r="U7" s="203"/>
      <c r="V7" s="1200"/>
      <c r="W7" s="1201"/>
      <c r="X7" s="1202"/>
    </row>
    <row r="8" spans="1:24" s="19" customFormat="1" ht="11.5" customHeight="1">
      <c r="A8" s="16"/>
      <c r="B8" s="473">
        <f>HAW!B5</f>
        <v>0</v>
      </c>
      <c r="F8" s="18"/>
      <c r="H8" s="203" t="s">
        <v>86</v>
      </c>
      <c r="I8" s="17"/>
      <c r="L8" s="29"/>
      <c r="M8" s="20"/>
      <c r="N8" s="21"/>
      <c r="O8" s="22"/>
      <c r="P8" s="52"/>
      <c r="Q8" s="329"/>
      <c r="R8" s="329"/>
      <c r="S8" s="329"/>
      <c r="U8" s="203"/>
      <c r="V8" s="1228"/>
      <c r="W8" s="1229"/>
      <c r="X8" s="1230"/>
    </row>
    <row r="9" spans="1:24" s="19" customFormat="1" ht="11.5" customHeight="1">
      <c r="A9" s="16"/>
      <c r="B9" s="382" t="s">
        <v>93</v>
      </c>
      <c r="C9" s="383"/>
      <c r="D9" s="383"/>
      <c r="E9" s="383"/>
      <c r="F9" s="18"/>
      <c r="H9" s="203" t="s">
        <v>159</v>
      </c>
      <c r="I9" s="17"/>
      <c r="L9" s="339"/>
      <c r="M9" s="30"/>
      <c r="N9" s="21"/>
      <c r="O9" s="22"/>
      <c r="P9" s="52"/>
      <c r="Q9" s="329"/>
      <c r="R9" s="329"/>
      <c r="S9" s="329"/>
      <c r="U9" s="203"/>
      <c r="V9" s="1228"/>
      <c r="W9" s="1229"/>
      <c r="X9" s="1230"/>
    </row>
    <row r="10" spans="1:24" s="19" customFormat="1" ht="11.5" customHeight="1">
      <c r="A10" s="16"/>
      <c r="B10" s="382" t="s">
        <v>92</v>
      </c>
      <c r="C10" s="384"/>
      <c r="D10" s="384"/>
      <c r="E10" s="384"/>
      <c r="F10" s="18"/>
      <c r="H10" s="204" t="s">
        <v>19</v>
      </c>
      <c r="I10" s="17"/>
      <c r="L10" s="765">
        <f>IF(SUM($E$17:$E$18)&gt;0,$S$84,0)</f>
        <v>0</v>
      </c>
      <c r="M10" s="30">
        <f>IF($L$10&gt;0,'HAW-Kennwerte'!R27,0)</f>
        <v>0</v>
      </c>
      <c r="N10" s="205">
        <f>IF(L10&gt;0,E19,0)</f>
        <v>0</v>
      </c>
      <c r="O10" s="26">
        <f>IF(E84&gt;0.15,0,IFERROR((M10+M10*0.7*E84*0.4)/M10,0))</f>
        <v>0</v>
      </c>
      <c r="P10" s="27">
        <f>L10*N10*(M10*O10+IF(E86="ja",'HAW-Kennwerte'!$R$29,0))</f>
        <v>0</v>
      </c>
      <c r="Q10" s="329"/>
      <c r="R10" s="329"/>
      <c r="S10" s="329"/>
      <c r="U10" s="203"/>
      <c r="V10" s="1200"/>
      <c r="W10" s="1201"/>
      <c r="X10" s="1202"/>
    </row>
    <row r="11" spans="1:24" s="19" customFormat="1" ht="11.5" customHeight="1">
      <c r="A11" s="16"/>
      <c r="B11" s="56"/>
      <c r="C11" s="56"/>
      <c r="D11" s="56"/>
      <c r="E11" s="56"/>
      <c r="F11" s="18"/>
      <c r="H11" s="204" t="s">
        <v>91</v>
      </c>
      <c r="I11" s="17"/>
      <c r="L11" s="765">
        <f>IF(SUM($E$17:$E$18)&gt;0,SUM($E$17:$E$18),0)</f>
        <v>0</v>
      </c>
      <c r="M11" s="249">
        <f>IF($L$11&gt;0,'HAW-Kennwerte'!S27,0)</f>
        <v>0</v>
      </c>
      <c r="N11" s="205">
        <f>IF(L11&gt;0,E19,0)</f>
        <v>0</v>
      </c>
      <c r="O11" s="22"/>
      <c r="P11" s="31">
        <f>L11*M11*N11</f>
        <v>0</v>
      </c>
      <c r="Q11" s="329"/>
      <c r="R11" s="329"/>
      <c r="S11" s="329"/>
      <c r="U11" s="203"/>
      <c r="V11" s="1200"/>
      <c r="W11" s="1201"/>
      <c r="X11" s="1202"/>
    </row>
    <row r="12" spans="1:24" s="19" customFormat="1" ht="11.5" customHeight="1">
      <c r="A12" s="16"/>
      <c r="B12" s="24" t="s">
        <v>8</v>
      </c>
      <c r="F12" s="18"/>
      <c r="H12" s="204" t="s">
        <v>109</v>
      </c>
      <c r="I12" s="17"/>
      <c r="L12" s="766">
        <f>IF($E$17&gt;0,$E$17,0)</f>
        <v>0</v>
      </c>
      <c r="M12" s="30">
        <f>IF(L12&gt;0,'HAW-Kennwerte'!U27,0)</f>
        <v>0</v>
      </c>
      <c r="N12" s="205">
        <f>IF(L12&gt;0,IF(E19=0,0,IF(E19&lt;0.7,0.7,E19)),0)</f>
        <v>0</v>
      </c>
      <c r="O12" s="26"/>
      <c r="P12" s="31">
        <f>L12*M12*N12</f>
        <v>0</v>
      </c>
      <c r="Q12" s="329">
        <f>IF(P12&gt;0,'HAW-Kennwerte'!AA27,0)</f>
        <v>0</v>
      </c>
      <c r="R12" s="329"/>
      <c r="S12" s="329"/>
      <c r="U12" s="203"/>
      <c r="V12" s="1200"/>
      <c r="W12" s="1201"/>
      <c r="X12" s="1202"/>
    </row>
    <row r="13" spans="1:24" s="19" customFormat="1" ht="11.5" customHeight="1">
      <c r="A13" s="16"/>
      <c r="B13" s="56" t="s">
        <v>10</v>
      </c>
      <c r="F13" s="18"/>
      <c r="H13" s="204" t="s">
        <v>110</v>
      </c>
      <c r="I13" s="17"/>
      <c r="L13" s="766">
        <f>IF($E$18&gt;0,$E$18,0)</f>
        <v>0</v>
      </c>
      <c r="M13" s="30">
        <f>IF(L13&gt;0,'HAW-Kennwerte'!X27,0)</f>
        <v>0</v>
      </c>
      <c r="N13" s="205">
        <f>IF(L13&gt;0,IF(E19=0,0,IF(E19&lt;0.7,0.7,E19)),0)</f>
        <v>0</v>
      </c>
      <c r="O13" s="22"/>
      <c r="P13" s="31">
        <f>L13*M13*N13</f>
        <v>0</v>
      </c>
      <c r="Q13" s="329">
        <f>IF(P13&gt;0,'HAW-Kennwerte'!AA27,0)</f>
        <v>0</v>
      </c>
      <c r="R13" s="329"/>
      <c r="S13" s="329"/>
      <c r="U13" s="203"/>
      <c r="V13" s="1200"/>
      <c r="W13" s="1201"/>
      <c r="X13" s="1202"/>
    </row>
    <row r="14" spans="1:24" s="19" customFormat="1" ht="11.5" customHeight="1">
      <c r="A14" s="16"/>
      <c r="F14" s="18"/>
      <c r="H14" s="203" t="s">
        <v>20</v>
      </c>
      <c r="I14" s="17"/>
      <c r="K14" s="112"/>
      <c r="L14" s="32"/>
      <c r="M14" s="17"/>
      <c r="N14" s="32"/>
      <c r="O14" s="33"/>
      <c r="P14" s="34">
        <f>SUMPRODUCT(P6:P13,Q6:Q13)</f>
        <v>0</v>
      </c>
      <c r="Q14" s="330"/>
      <c r="R14" s="330"/>
      <c r="S14" s="330"/>
      <c r="U14" s="203"/>
      <c r="V14" s="1200"/>
      <c r="W14" s="1201"/>
      <c r="X14" s="1202"/>
    </row>
    <row r="15" spans="1:24" s="19" customFormat="1" ht="10.5">
      <c r="A15" s="16"/>
      <c r="B15" s="17"/>
      <c r="C15" s="56"/>
      <c r="D15" s="246" t="s">
        <v>73</v>
      </c>
      <c r="E15" s="407"/>
      <c r="F15" s="18"/>
      <c r="H15" s="17"/>
      <c r="I15" s="17"/>
      <c r="K15" s="35"/>
      <c r="L15" s="36"/>
      <c r="M15" s="17"/>
      <c r="N15" s="35"/>
      <c r="O15" s="35"/>
      <c r="P15" s="38">
        <f>SUM(P6:P14)</f>
        <v>0</v>
      </c>
      <c r="Q15" s="330"/>
      <c r="R15" s="330"/>
      <c r="S15" s="330"/>
      <c r="U15" s="203"/>
      <c r="V15" s="1228"/>
      <c r="W15" s="1229"/>
      <c r="X15" s="1230"/>
    </row>
    <row r="16" spans="1:24" s="19" customFormat="1" ht="11.25" customHeight="1">
      <c r="A16" s="16"/>
      <c r="B16" s="17"/>
      <c r="C16" s="17"/>
      <c r="D16" s="223" t="s">
        <v>75</v>
      </c>
      <c r="E16" s="407"/>
      <c r="F16" s="18"/>
      <c r="H16" s="17"/>
      <c r="I16" s="17"/>
      <c r="K16" s="35"/>
      <c r="L16" s="36"/>
      <c r="M16" s="17"/>
      <c r="N16" s="35"/>
      <c r="O16" s="35"/>
      <c r="Q16" s="330"/>
      <c r="R16" s="330"/>
      <c r="S16" s="330"/>
      <c r="U16" s="203"/>
      <c r="V16" s="1228"/>
      <c r="W16" s="1229"/>
      <c r="X16" s="1230"/>
    </row>
    <row r="17" spans="1:24" s="19" customFormat="1">
      <c r="A17" s="16"/>
      <c r="B17" s="17"/>
      <c r="D17" s="223" t="s">
        <v>185</v>
      </c>
      <c r="E17" s="764">
        <f>L84</f>
        <v>0</v>
      </c>
      <c r="F17" s="18"/>
      <c r="H17" s="24" t="s">
        <v>12</v>
      </c>
      <c r="I17" s="17"/>
      <c r="K17" s="35"/>
      <c r="L17" s="36"/>
      <c r="M17" s="17"/>
      <c r="N17" s="35"/>
      <c r="O17" s="35"/>
      <c r="P17" s="37"/>
      <c r="Q17" s="330"/>
      <c r="R17" s="330"/>
      <c r="S17" s="330"/>
      <c r="U17" s="203"/>
      <c r="V17" s="1228"/>
      <c r="W17" s="1229"/>
      <c r="X17" s="1230"/>
    </row>
    <row r="18" spans="1:24" s="19" customFormat="1" ht="11.5" customHeight="1">
      <c r="A18" s="16"/>
      <c r="B18" s="17"/>
      <c r="C18" s="17"/>
      <c r="D18" s="223" t="s">
        <v>186</v>
      </c>
      <c r="E18" s="764">
        <f>Q84</f>
        <v>0</v>
      </c>
      <c r="F18" s="18"/>
      <c r="H18" s="203" t="s">
        <v>0</v>
      </c>
      <c r="I18" s="17"/>
      <c r="L18" s="39">
        <f>E20/100</f>
        <v>0</v>
      </c>
      <c r="M18" s="30">
        <f>IF(N46=0,IF(E20&gt;0,'HAW-Kennwerte'!F27,0),'HAW-Kennwerte'!E27*81600/N46)</f>
        <v>0</v>
      </c>
      <c r="N18" s="205">
        <f>IF(L18&gt;0,IF(E21="ja",'HAW-Kennwerte'!G27,1),0)</f>
        <v>0</v>
      </c>
      <c r="O18" s="205"/>
      <c r="P18" s="23">
        <f>L18*M18*N18</f>
        <v>0</v>
      </c>
      <c r="Q18" s="328">
        <f>IF(P18&gt;0,Q6,0)</f>
        <v>0</v>
      </c>
      <c r="R18" s="328"/>
      <c r="S18" s="328"/>
      <c r="U18" s="203"/>
      <c r="V18" s="1200"/>
      <c r="W18" s="1201"/>
      <c r="X18" s="1202"/>
    </row>
    <row r="19" spans="1:24" s="19" customFormat="1" ht="11.5" customHeight="1">
      <c r="A19" s="16"/>
      <c r="B19" s="17"/>
      <c r="C19" s="17"/>
      <c r="D19" s="53" t="s">
        <v>27</v>
      </c>
      <c r="E19" s="688">
        <f>S88</f>
        <v>0</v>
      </c>
      <c r="F19" s="18"/>
      <c r="H19" s="203" t="s">
        <v>1</v>
      </c>
      <c r="I19" s="17"/>
      <c r="L19" s="39"/>
      <c r="M19" s="30"/>
      <c r="N19" s="25"/>
      <c r="O19" s="25"/>
      <c r="P19" s="52"/>
      <c r="Q19" s="329"/>
      <c r="R19" s="329"/>
      <c r="S19" s="329"/>
      <c r="U19" s="203"/>
      <c r="V19" s="1200"/>
      <c r="W19" s="1201"/>
      <c r="X19" s="1202"/>
    </row>
    <row r="20" spans="1:24" s="19" customFormat="1" ht="11.5" customHeight="1">
      <c r="A20" s="16"/>
      <c r="B20" s="17"/>
      <c r="C20" s="17"/>
      <c r="D20" s="53" t="s">
        <v>28</v>
      </c>
      <c r="E20" s="55">
        <f>H47</f>
        <v>0</v>
      </c>
      <c r="F20" s="18"/>
      <c r="H20" s="203" t="s">
        <v>159</v>
      </c>
      <c r="I20" s="17"/>
      <c r="L20" s="39"/>
      <c r="M20" s="30"/>
      <c r="N20" s="21"/>
      <c r="O20" s="25"/>
      <c r="P20" s="52">
        <f>L20*M20</f>
        <v>0</v>
      </c>
      <c r="Q20" s="329"/>
      <c r="R20" s="329"/>
      <c r="S20" s="329"/>
      <c r="U20" s="203"/>
      <c r="V20" s="1228"/>
      <c r="W20" s="1229"/>
      <c r="X20" s="1230"/>
    </row>
    <row r="21" spans="1:24" s="19" customFormat="1" ht="11.5" customHeight="1">
      <c r="A21" s="16"/>
      <c r="B21" s="17"/>
      <c r="C21" s="17"/>
      <c r="D21" s="223" t="s">
        <v>247</v>
      </c>
      <c r="E21" s="815" t="s">
        <v>248</v>
      </c>
      <c r="F21" s="18"/>
      <c r="H21" s="203" t="s">
        <v>20</v>
      </c>
      <c r="I21" s="17"/>
      <c r="P21" s="34">
        <f>SUMPRODUCT(P18:P20,Q18:Q20)</f>
        <v>0</v>
      </c>
      <c r="Q21" s="329"/>
      <c r="R21" s="329"/>
      <c r="S21" s="329"/>
      <c r="U21" s="203"/>
      <c r="V21" s="1200"/>
      <c r="W21" s="1201"/>
      <c r="X21" s="1202"/>
    </row>
    <row r="22" spans="1:24" s="19" customFormat="1" ht="11.5" customHeight="1">
      <c r="A22" s="16"/>
      <c r="B22" s="17"/>
      <c r="C22" s="17"/>
      <c r="F22" s="18"/>
      <c r="I22" s="17"/>
      <c r="K22" s="17"/>
      <c r="L22" s="213"/>
      <c r="M22" s="17"/>
      <c r="N22" s="112"/>
      <c r="O22" s="212"/>
      <c r="P22" s="38">
        <f>SUM(P18:P21)</f>
        <v>0</v>
      </c>
      <c r="Q22" s="28"/>
      <c r="R22" s="28"/>
      <c r="S22" s="28"/>
      <c r="U22" s="203"/>
      <c r="V22" s="1228"/>
      <c r="W22" s="1229"/>
      <c r="X22" s="1230"/>
    </row>
    <row r="23" spans="1:24" s="19" customFormat="1" ht="11.5" customHeight="1">
      <c r="A23" s="16"/>
      <c r="B23" s="17"/>
      <c r="C23" s="2"/>
      <c r="D23" s="223" t="s">
        <v>127</v>
      </c>
      <c r="E23" s="407">
        <f>P103</f>
        <v>0</v>
      </c>
      <c r="F23" s="18"/>
      <c r="I23" s="17"/>
      <c r="J23" s="112"/>
      <c r="K23" s="17"/>
      <c r="L23" s="44"/>
      <c r="M23" s="17"/>
      <c r="N23" s="112"/>
      <c r="O23" s="212"/>
      <c r="R23" s="40"/>
      <c r="S23" s="40"/>
      <c r="U23" s="203"/>
      <c r="V23" s="1228"/>
      <c r="W23" s="1229"/>
      <c r="X23" s="1230"/>
    </row>
    <row r="24" spans="1:24" ht="12.65" customHeight="1">
      <c r="A24" s="13"/>
      <c r="B24" s="2"/>
      <c r="C24" s="17"/>
      <c r="D24" s="53"/>
      <c r="E24" s="51"/>
      <c r="F24" s="14"/>
      <c r="I24" s="24" t="s">
        <v>15</v>
      </c>
      <c r="K24" s="17"/>
      <c r="L24" s="41"/>
      <c r="M24" s="2"/>
      <c r="P24" s="43"/>
      <c r="Q24" s="1185" t="s">
        <v>789</v>
      </c>
      <c r="R24" s="12"/>
      <c r="S24" s="12"/>
      <c r="V24" s="1231"/>
      <c r="W24" s="1232"/>
      <c r="X24" s="1174"/>
    </row>
    <row r="25" spans="1:24" ht="11.15" customHeight="1">
      <c r="A25" s="13"/>
      <c r="B25" s="2"/>
      <c r="C25" s="17"/>
      <c r="D25" s="53"/>
      <c r="E25" s="51"/>
      <c r="F25" s="14"/>
      <c r="I25" s="1169" t="s">
        <v>293</v>
      </c>
      <c r="J25" s="385"/>
      <c r="K25" s="385"/>
      <c r="L25" s="386"/>
      <c r="M25" s="387"/>
      <c r="N25" s="388"/>
      <c r="P25" s="404"/>
      <c r="Q25" s="720"/>
      <c r="R25" s="813"/>
      <c r="S25" s="813"/>
      <c r="V25" s="1231"/>
      <c r="W25" s="1232"/>
      <c r="X25" s="1174"/>
    </row>
    <row r="26" spans="1:24">
      <c r="A26" s="13"/>
      <c r="B26" s="2"/>
      <c r="C26" s="2"/>
      <c r="D26" s="2"/>
      <c r="E26" s="2"/>
      <c r="F26" s="14"/>
      <c r="I26" s="1170"/>
      <c r="J26" s="389"/>
      <c r="K26" s="389"/>
      <c r="L26" s="390"/>
      <c r="M26" s="389"/>
      <c r="N26" s="391"/>
      <c r="P26" s="405"/>
      <c r="Q26" s="720"/>
      <c r="R26" s="813"/>
      <c r="S26" s="813"/>
      <c r="V26" s="1231"/>
      <c r="W26" s="1232"/>
      <c r="X26" s="1174"/>
    </row>
    <row r="27" spans="1:24" s="19" customFormat="1" ht="11.5" customHeight="1">
      <c r="A27" s="16"/>
      <c r="B27" s="17"/>
      <c r="C27" s="53" t="s">
        <v>29</v>
      </c>
      <c r="D27" s="1367">
        <f>HAW!D24</f>
        <v>0</v>
      </c>
      <c r="E27" s="1368"/>
      <c r="F27" s="18"/>
      <c r="I27" s="1170"/>
      <c r="J27" s="392"/>
      <c r="K27" s="392"/>
      <c r="L27" s="392"/>
      <c r="M27" s="392"/>
      <c r="N27" s="393"/>
      <c r="O27" s="35"/>
      <c r="P27" s="405"/>
      <c r="Q27" s="721"/>
      <c r="R27" s="814"/>
      <c r="S27" s="814"/>
      <c r="U27" s="203"/>
      <c r="V27" s="1228"/>
      <c r="W27" s="1229"/>
      <c r="X27" s="1230"/>
    </row>
    <row r="28" spans="1:24" s="19" customFormat="1" ht="11.5" customHeight="1">
      <c r="A28" s="16"/>
      <c r="B28" s="17"/>
      <c r="C28" s="53" t="s">
        <v>30</v>
      </c>
      <c r="D28" s="1369">
        <f>HAW!D25</f>
        <v>0</v>
      </c>
      <c r="E28" s="1370"/>
      <c r="F28" s="18"/>
      <c r="I28" s="1170"/>
      <c r="J28" s="392"/>
      <c r="K28" s="392"/>
      <c r="L28" s="392"/>
      <c r="M28" s="392"/>
      <c r="N28" s="392"/>
      <c r="P28" s="405"/>
      <c r="Q28" s="721"/>
      <c r="R28" s="814"/>
      <c r="S28" s="814"/>
      <c r="U28" s="203"/>
      <c r="V28" s="1228"/>
      <c r="W28" s="1229"/>
      <c r="X28" s="1230"/>
    </row>
    <row r="29" spans="1:24" s="19" customFormat="1" ht="11.5" customHeight="1">
      <c r="A29" s="102"/>
      <c r="B29" s="103"/>
      <c r="C29" s="103"/>
      <c r="D29" s="103"/>
      <c r="E29" s="103"/>
      <c r="F29" s="104"/>
      <c r="I29" s="1170"/>
      <c r="J29" s="392"/>
      <c r="K29" s="392"/>
      <c r="L29" s="392"/>
      <c r="M29" s="392"/>
      <c r="N29" s="392"/>
      <c r="P29" s="406"/>
      <c r="Q29" s="721"/>
      <c r="R29" s="814"/>
      <c r="S29" s="814"/>
      <c r="U29" s="203"/>
      <c r="V29" s="1228"/>
      <c r="W29" s="1229"/>
      <c r="X29" s="1230"/>
    </row>
    <row r="30" spans="1:24" s="19" customFormat="1" ht="11.25" customHeight="1">
      <c r="A30" s="17"/>
      <c r="I30" s="17"/>
      <c r="P30" s="38">
        <f>SUM(P25:P29)</f>
        <v>0</v>
      </c>
      <c r="Q30" s="40"/>
      <c r="R30" s="40"/>
      <c r="S30" s="40"/>
      <c r="U30" s="203"/>
      <c r="V30" s="1228"/>
      <c r="W30" s="1229"/>
      <c r="X30" s="1230"/>
    </row>
    <row r="31" spans="1:24" ht="11.25" customHeight="1">
      <c r="A31" s="2"/>
      <c r="B31" s="2"/>
      <c r="C31" s="2"/>
      <c r="H31" s="106"/>
      <c r="I31" s="224"/>
      <c r="J31" s="225"/>
      <c r="K31" s="224"/>
      <c r="L31" s="226"/>
      <c r="M31" s="225"/>
      <c r="N31" s="107"/>
      <c r="O31" s="107"/>
      <c r="P31" s="227"/>
      <c r="Q31" s="50"/>
      <c r="R31" s="50"/>
      <c r="S31" s="50"/>
      <c r="V31" s="1231"/>
      <c r="W31" s="1232"/>
      <c r="X31" s="1174"/>
    </row>
    <row r="32" spans="1:24" ht="11.25" customHeight="1">
      <c r="A32" s="2"/>
      <c r="B32" s="2"/>
      <c r="C32" s="2"/>
      <c r="I32" s="47"/>
      <c r="J32" s="24"/>
      <c r="K32" s="47"/>
      <c r="L32" s="48"/>
      <c r="M32" s="24"/>
      <c r="N32" s="49"/>
      <c r="O32" s="49"/>
      <c r="P32" s="50"/>
      <c r="Q32" s="50"/>
      <c r="R32" s="50"/>
      <c r="S32" s="50"/>
      <c r="V32" s="1231"/>
      <c r="W32" s="1232"/>
      <c r="X32" s="1174"/>
    </row>
    <row r="33" spans="1:24" ht="50.15" customHeight="1" thickBot="1">
      <c r="A33" s="2"/>
      <c r="B33" s="2"/>
      <c r="C33" s="2"/>
      <c r="D33" s="2"/>
      <c r="F33" s="219" t="s">
        <v>16</v>
      </c>
      <c r="G33" s="2"/>
      <c r="H33" s="220" t="s">
        <v>0</v>
      </c>
      <c r="I33" s="220" t="s">
        <v>1</v>
      </c>
      <c r="J33" s="221" t="s">
        <v>197</v>
      </c>
      <c r="K33" s="221" t="s">
        <v>159</v>
      </c>
      <c r="L33" s="221" t="s">
        <v>198</v>
      </c>
      <c r="M33" s="221" t="s">
        <v>22</v>
      </c>
      <c r="N33" s="220" t="s">
        <v>20</v>
      </c>
      <c r="O33" s="221" t="s">
        <v>199</v>
      </c>
      <c r="T33" s="77"/>
      <c r="V33" s="1231"/>
      <c r="W33" s="1232"/>
      <c r="X33" s="1174"/>
    </row>
    <row r="34" spans="1:24" ht="17.149999999999999" customHeight="1" thickBot="1">
      <c r="B34" s="2"/>
      <c r="C34" s="2"/>
      <c r="D34" s="2"/>
      <c r="G34" s="2"/>
      <c r="H34" s="222">
        <f>P6+P18+SUMIF(Q25:Q29,H33,P25:P29)</f>
        <v>0</v>
      </c>
      <c r="I34" s="222">
        <f>IFERROR(P7+P19+SUMIF(Q25:Q29,I33,P25:P29),"")</f>
        <v>0</v>
      </c>
      <c r="J34" s="422"/>
      <c r="K34" s="422"/>
      <c r="L34" s="222">
        <f>P10+P11+SUMIF(Q25:Q29,L33,P25:P29)</f>
        <v>0</v>
      </c>
      <c r="M34" s="222">
        <f>P12+P13+SUMIF(Q25:Q29,M33,P25:P29)</f>
        <v>0</v>
      </c>
      <c r="N34" s="222">
        <f>P14+P21+SUMIF(Q25:Q29,N33,P25:P29)</f>
        <v>0</v>
      </c>
      <c r="O34" s="222">
        <f>SUMIF(Q25:Q29,O33,P25:P29)</f>
        <v>0</v>
      </c>
      <c r="P34" s="331">
        <f>SUM(H34:O34)</f>
        <v>0</v>
      </c>
      <c r="Q34" s="101"/>
      <c r="R34" s="101"/>
      <c r="S34" s="101"/>
      <c r="T34" s="77"/>
      <c r="V34" s="1231"/>
      <c r="W34" s="1232"/>
      <c r="X34" s="1174"/>
    </row>
    <row r="35" spans="1:24">
      <c r="A35" s="106"/>
      <c r="B35" s="105"/>
      <c r="C35" s="46"/>
      <c r="D35" s="46"/>
      <c r="E35" s="46"/>
      <c r="F35" s="46"/>
      <c r="G35" s="106"/>
      <c r="H35" s="106"/>
      <c r="I35" s="106"/>
      <c r="J35" s="107"/>
      <c r="K35" s="106"/>
      <c r="L35" s="107"/>
      <c r="M35" s="106"/>
      <c r="N35" s="107"/>
      <c r="O35" s="107"/>
      <c r="P35" s="107"/>
      <c r="Q35" s="107"/>
      <c r="R35" s="49"/>
      <c r="S35" s="49"/>
      <c r="T35" s="77"/>
      <c r="V35" s="1231"/>
      <c r="W35" s="1232"/>
      <c r="X35" s="1174"/>
    </row>
    <row r="36" spans="1:24">
      <c r="S36" s="49"/>
      <c r="T36" s="77"/>
      <c r="V36" s="1231"/>
      <c r="W36" s="1232"/>
      <c r="X36" s="1174"/>
    </row>
    <row r="37" spans="1:24">
      <c r="A37" s="7"/>
      <c r="B37" s="8"/>
      <c r="C37" s="8"/>
      <c r="D37" s="8"/>
      <c r="E37" s="8"/>
      <c r="F37" s="8"/>
      <c r="G37" s="8"/>
      <c r="H37" s="8"/>
      <c r="I37" s="8"/>
      <c r="J37" s="8"/>
      <c r="K37" s="8"/>
      <c r="L37" s="8"/>
      <c r="M37" s="8"/>
      <c r="N37" s="108"/>
      <c r="O37" s="108"/>
      <c r="P37" s="109"/>
      <c r="S37" s="49"/>
      <c r="T37" s="77"/>
      <c r="V37" s="1231"/>
      <c r="W37" s="1232"/>
      <c r="X37" s="1174"/>
    </row>
    <row r="38" spans="1:24" ht="10.5">
      <c r="A38" s="13"/>
      <c r="E38" s="110" t="s">
        <v>70</v>
      </c>
      <c r="F38" s="2"/>
      <c r="G38" s="2"/>
      <c r="H38" s="2"/>
      <c r="I38" s="2"/>
      <c r="J38" s="2"/>
      <c r="K38" s="238" t="s">
        <v>69</v>
      </c>
      <c r="M38" s="2"/>
      <c r="N38" s="49"/>
      <c r="O38" s="49"/>
      <c r="P38" s="111"/>
      <c r="S38" s="49"/>
      <c r="T38" s="77"/>
      <c r="V38" s="1231"/>
      <c r="W38" s="1232"/>
      <c r="X38" s="1174"/>
    </row>
    <row r="39" spans="1:24" ht="2.5" customHeight="1">
      <c r="A39" s="13"/>
      <c r="E39" s="110"/>
      <c r="F39" s="2"/>
      <c r="G39" s="2"/>
      <c r="H39" s="46"/>
      <c r="I39" s="2"/>
      <c r="J39" s="2"/>
      <c r="K39" s="2"/>
      <c r="L39" s="2"/>
      <c r="M39" s="2"/>
      <c r="N39" s="49"/>
      <c r="O39" s="49"/>
      <c r="P39" s="111"/>
      <c r="S39" s="49"/>
      <c r="T39" s="77"/>
      <c r="V39" s="1231"/>
      <c r="W39" s="1232"/>
      <c r="X39" s="1174"/>
    </row>
    <row r="40" spans="1:24" ht="11.15" customHeight="1">
      <c r="A40" s="13"/>
      <c r="E40" s="207">
        <f>IF($E$44&gt;2023,$E$44-4,"")</f>
        <v>2021</v>
      </c>
      <c r="H40" s="409"/>
      <c r="I40" s="2" t="s">
        <v>25</v>
      </c>
      <c r="J40" s="2"/>
      <c r="K40" s="2"/>
      <c r="L40" s="49"/>
      <c r="M40" s="2"/>
      <c r="N40" s="49"/>
      <c r="O40" s="49"/>
      <c r="P40" s="111"/>
      <c r="S40" s="49"/>
      <c r="T40" s="77"/>
      <c r="V40" s="1231"/>
      <c r="W40" s="1232"/>
      <c r="X40" s="1174"/>
    </row>
    <row r="41" spans="1:24" ht="11.15" customHeight="1">
      <c r="A41" s="13"/>
      <c r="E41" s="207">
        <f>IF($E$44&gt;2023,$E$44-3,"")</f>
        <v>2022</v>
      </c>
      <c r="H41" s="409"/>
      <c r="I41" s="228" t="s">
        <v>25</v>
      </c>
      <c r="J41" s="2"/>
      <c r="K41" s="2"/>
      <c r="L41" s="49"/>
      <c r="M41" s="2"/>
      <c r="N41" s="49"/>
      <c r="O41" s="49"/>
      <c r="P41" s="111"/>
      <c r="S41" s="49"/>
      <c r="T41" s="77"/>
      <c r="V41" s="1231"/>
      <c r="W41" s="1232"/>
      <c r="X41" s="1174"/>
    </row>
    <row r="42" spans="1:24" ht="11.15" customHeight="1">
      <c r="A42" s="13"/>
      <c r="E42" s="207">
        <f>IF($E$44&gt;2023,$E$44-2,"")</f>
        <v>2023</v>
      </c>
      <c r="H42" s="409"/>
      <c r="I42" s="228" t="s">
        <v>25</v>
      </c>
      <c r="J42" s="2"/>
      <c r="K42" s="2"/>
      <c r="L42" s="49"/>
      <c r="M42" s="2"/>
      <c r="N42" s="49"/>
      <c r="O42" s="49"/>
      <c r="P42" s="111"/>
      <c r="S42" s="49"/>
      <c r="T42" s="77"/>
      <c r="V42" s="1231"/>
      <c r="W42" s="1232"/>
      <c r="X42" s="1174"/>
    </row>
    <row r="43" spans="1:24" ht="11.15" customHeight="1">
      <c r="A43" s="13"/>
      <c r="E43" s="207">
        <f>IF($E$44&gt;2023,$E$44-1,"")</f>
        <v>2024</v>
      </c>
      <c r="H43" s="409"/>
      <c r="I43" s="228" t="s">
        <v>25</v>
      </c>
      <c r="J43" s="2"/>
      <c r="M43" s="207" t="s">
        <v>56</v>
      </c>
      <c r="N43" s="247">
        <f>'HAW-Kennwerte'!E29</f>
        <v>81600</v>
      </c>
      <c r="O43" s="49"/>
      <c r="P43" s="111"/>
      <c r="S43" s="49"/>
      <c r="T43" s="77"/>
      <c r="V43" s="1231"/>
      <c r="W43" s="1232"/>
      <c r="X43" s="1174"/>
    </row>
    <row r="44" spans="1:24" ht="11.15" customHeight="1">
      <c r="A44" s="13"/>
      <c r="D44" s="236" t="s">
        <v>184</v>
      </c>
      <c r="E44" s="717">
        <v>2025</v>
      </c>
      <c r="H44" s="409"/>
      <c r="I44" s="228" t="s">
        <v>25</v>
      </c>
      <c r="J44" s="49"/>
      <c r="M44" s="207" t="s">
        <v>119</v>
      </c>
      <c r="N44" s="475"/>
      <c r="O44" s="49"/>
      <c r="P44" s="111"/>
      <c r="S44" s="49"/>
      <c r="T44" s="77"/>
      <c r="V44" s="1231"/>
      <c r="W44" s="1232"/>
      <c r="X44" s="1174"/>
    </row>
    <row r="45" spans="1:24" ht="2.5" customHeight="1">
      <c r="A45" s="13"/>
      <c r="E45" s="2"/>
      <c r="F45" s="2"/>
      <c r="H45" s="2"/>
      <c r="I45" s="2"/>
      <c r="J45" s="49"/>
      <c r="M45" s="2"/>
      <c r="N45" s="2"/>
      <c r="O45" s="49"/>
      <c r="P45" s="111"/>
      <c r="S45" s="49"/>
      <c r="T45" s="77"/>
      <c r="V45" s="1231"/>
      <c r="W45" s="1232"/>
      <c r="X45" s="1174"/>
    </row>
    <row r="46" spans="1:24">
      <c r="A46" s="13"/>
      <c r="E46" s="2"/>
      <c r="F46" s="2"/>
      <c r="G46" s="116" t="s">
        <v>33</v>
      </c>
      <c r="H46" s="409"/>
      <c r="I46" s="2"/>
      <c r="J46" s="49"/>
      <c r="M46" s="116" t="s">
        <v>33</v>
      </c>
      <c r="N46" s="409"/>
      <c r="O46" s="49"/>
      <c r="P46" s="111"/>
      <c r="S46" s="49"/>
      <c r="T46" s="77"/>
      <c r="V46" s="1231"/>
      <c r="W46" s="1232"/>
      <c r="X46" s="1174"/>
    </row>
    <row r="47" spans="1:24" ht="12" customHeight="1">
      <c r="A47" s="13"/>
      <c r="E47" s="2"/>
      <c r="F47" s="2"/>
      <c r="G47" s="2"/>
      <c r="H47" s="54">
        <f>IF(H46=0,(H44*1.02*5+H43*1.04*4+H42*1.06*3+H41*1.08*2+H40*1.1)/15,H46)</f>
        <v>0</v>
      </c>
      <c r="I47" s="2"/>
      <c r="J47" s="49"/>
      <c r="M47" s="2"/>
      <c r="N47" s="54">
        <f>IF(N46&gt;0,N46,'HAW-Kennwerte'!E31)</f>
        <v>81600</v>
      </c>
      <c r="O47" s="49"/>
      <c r="P47" s="111"/>
      <c r="S47" s="49"/>
      <c r="T47" s="77"/>
      <c r="V47" s="1200"/>
      <c r="W47" s="1201"/>
      <c r="X47" s="1202"/>
    </row>
    <row r="48" spans="1:24">
      <c r="A48" s="45"/>
      <c r="B48" s="46"/>
      <c r="C48" s="46"/>
      <c r="D48" s="46"/>
      <c r="E48" s="46"/>
      <c r="F48" s="46"/>
      <c r="G48" s="46"/>
      <c r="H48" s="46"/>
      <c r="I48" s="46"/>
      <c r="J48" s="119"/>
      <c r="K48" s="46"/>
      <c r="L48" s="119"/>
      <c r="M48" s="46"/>
      <c r="N48" s="119"/>
      <c r="O48" s="119"/>
      <c r="P48" s="120"/>
      <c r="S48" s="49"/>
      <c r="T48" s="77"/>
      <c r="V48" s="1231"/>
      <c r="W48" s="1232"/>
      <c r="X48" s="1174"/>
    </row>
    <row r="49" spans="1:24" ht="11.25" customHeight="1">
      <c r="B49" s="117" t="s">
        <v>34</v>
      </c>
      <c r="S49" s="49"/>
      <c r="T49" s="2"/>
      <c r="V49" s="1231"/>
      <c r="W49" s="1232"/>
      <c r="X49" s="1174"/>
    </row>
    <row r="50" spans="1:24">
      <c r="A50" s="2"/>
      <c r="B50" s="106"/>
      <c r="C50" s="209"/>
      <c r="D50" s="106"/>
      <c r="E50" s="106"/>
      <c r="F50" s="106"/>
      <c r="G50" s="106"/>
      <c r="H50" s="106"/>
      <c r="I50" s="106"/>
      <c r="J50" s="106"/>
      <c r="K50" s="107"/>
      <c r="L50" s="106"/>
      <c r="M50" s="107"/>
      <c r="N50" s="106"/>
      <c r="O50" s="107"/>
      <c r="P50" s="107"/>
      <c r="Q50" s="107"/>
      <c r="R50" s="49"/>
      <c r="S50" s="49"/>
      <c r="T50" s="49"/>
      <c r="V50" s="1231"/>
      <c r="W50" s="1232"/>
      <c r="X50" s="1174"/>
    </row>
    <row r="51" spans="1:24">
      <c r="A51" s="2"/>
      <c r="J51" s="1"/>
      <c r="K51" s="42"/>
      <c r="L51" s="1"/>
      <c r="M51" s="42"/>
      <c r="N51" s="1"/>
      <c r="Q51" s="201" t="str">
        <f>HAW!B28</f>
        <v>Kennwertverfahren NRW für HAW; HIS-Institut für Hochschulentwicklung e.V. (24.04.2026)</v>
      </c>
      <c r="R51" s="250"/>
      <c r="S51" s="2"/>
      <c r="T51" s="2"/>
      <c r="V51" s="1231"/>
      <c r="W51" s="1232"/>
      <c r="X51" s="1174"/>
    </row>
    <row r="52" spans="1:24">
      <c r="A52" s="2"/>
      <c r="T52" s="121"/>
      <c r="V52" s="1231"/>
      <c r="W52" s="1232"/>
      <c r="X52" s="1174"/>
    </row>
    <row r="53" spans="1:24">
      <c r="A53" s="2"/>
      <c r="T53" s="121"/>
      <c r="V53" s="1231"/>
      <c r="W53" s="1232"/>
      <c r="X53" s="1174"/>
    </row>
    <row r="54" spans="1:24" ht="10.5">
      <c r="A54" s="2"/>
      <c r="B54" s="394" t="str">
        <f>IF(B8=0,B7,CONCATENATE(B7,B8))</f>
        <v>Hochschule …</v>
      </c>
      <c r="C54" s="395"/>
      <c r="D54" s="395"/>
      <c r="E54" s="395"/>
      <c r="F54" s="395"/>
      <c r="G54" s="395"/>
      <c r="H54" s="395"/>
      <c r="I54" s="395"/>
      <c r="J54" s="396"/>
      <c r="K54" s="395"/>
      <c r="L54" s="396"/>
      <c r="M54" s="395"/>
      <c r="N54" s="396"/>
      <c r="O54" s="396"/>
      <c r="P54" s="396"/>
      <c r="Q54" s="396"/>
      <c r="R54" s="396"/>
      <c r="S54" s="396"/>
      <c r="T54" s="121"/>
      <c r="V54" s="1231"/>
      <c r="W54" s="1232"/>
      <c r="X54" s="1174"/>
    </row>
    <row r="55" spans="1:24">
      <c r="A55" s="2"/>
      <c r="B55" s="395" t="str">
        <f>B9</f>
        <v>[Fakultät/Fachbereich]</v>
      </c>
      <c r="C55" s="395"/>
      <c r="D55" s="395"/>
      <c r="E55" s="395"/>
      <c r="F55" s="395"/>
      <c r="G55" s="395"/>
      <c r="H55" s="395"/>
      <c r="I55" s="395"/>
      <c r="J55" s="396"/>
      <c r="K55" s="395"/>
      <c r="L55" s="396"/>
      <c r="M55" s="395"/>
      <c r="N55" s="396"/>
      <c r="O55" s="396"/>
      <c r="P55" s="396"/>
      <c r="Q55" s="396"/>
      <c r="R55" s="396"/>
      <c r="S55" s="396"/>
      <c r="T55" s="121"/>
      <c r="V55" s="1231"/>
      <c r="W55" s="1232"/>
      <c r="X55" s="1174"/>
    </row>
    <row r="56" spans="1:24">
      <c r="A56" s="2"/>
      <c r="B56" s="395" t="str">
        <f>B10</f>
        <v>[Department, Institut o.a.]</v>
      </c>
      <c r="C56" s="395"/>
      <c r="D56" s="395"/>
      <c r="E56" s="395"/>
      <c r="F56" s="395"/>
      <c r="G56" s="395"/>
      <c r="H56" s="395"/>
      <c r="I56" s="395"/>
      <c r="J56" s="396"/>
      <c r="K56" s="395"/>
      <c r="L56" s="396"/>
      <c r="M56" s="395"/>
      <c r="N56" s="396"/>
      <c r="O56" s="396"/>
      <c r="P56" s="396"/>
      <c r="Q56" s="396"/>
      <c r="R56" s="396"/>
      <c r="S56" s="396"/>
      <c r="T56" s="121"/>
      <c r="V56" s="1231"/>
      <c r="W56" s="1232"/>
      <c r="X56" s="1174"/>
    </row>
    <row r="57" spans="1:24">
      <c r="A57" s="2"/>
      <c r="B57" s="395" t="str">
        <f>CONCATENATE(B12,": ",B13)</f>
        <v>Lehr- und Forschungsbereich: Wirtschaftswissenschaften</v>
      </c>
      <c r="C57" s="395"/>
      <c r="D57" s="395"/>
      <c r="E57" s="395"/>
      <c r="F57" s="395"/>
      <c r="G57" s="395"/>
      <c r="H57" s="395"/>
      <c r="I57" s="395"/>
      <c r="J57" s="396"/>
      <c r="K57" s="395"/>
      <c r="L57" s="396"/>
      <c r="M57" s="395"/>
      <c r="N57" s="396"/>
      <c r="O57" s="396"/>
      <c r="P57" s="396"/>
      <c r="Q57" s="396"/>
      <c r="R57" s="396"/>
      <c r="S57" s="396"/>
      <c r="T57" s="121"/>
      <c r="V57" s="1231"/>
      <c r="W57" s="1232"/>
      <c r="X57" s="1174"/>
    </row>
    <row r="58" spans="1:24">
      <c r="A58" s="2"/>
      <c r="T58" s="121"/>
      <c r="V58" s="1231"/>
      <c r="W58" s="1232"/>
      <c r="X58" s="1174"/>
    </row>
    <row r="59" spans="1:24">
      <c r="A59" s="2"/>
      <c r="B59" s="378" t="s">
        <v>95</v>
      </c>
      <c r="T59" s="121"/>
      <c r="V59" s="1231"/>
      <c r="W59" s="1232"/>
      <c r="X59" s="1174"/>
    </row>
    <row r="60" spans="1:24" s="202" customFormat="1" ht="2.25" customHeight="1">
      <c r="A60" s="110"/>
      <c r="B60" s="909"/>
      <c r="C60" s="910"/>
      <c r="D60" s="910"/>
      <c r="E60" s="910"/>
      <c r="F60" s="910"/>
      <c r="G60" s="910"/>
      <c r="H60" s="910"/>
      <c r="I60" s="910"/>
      <c r="J60" s="544"/>
      <c r="K60" s="910"/>
      <c r="L60" s="544"/>
      <c r="M60" s="910"/>
      <c r="N60" s="544"/>
      <c r="O60" s="544"/>
      <c r="P60" s="544"/>
      <c r="Q60" s="544"/>
      <c r="R60" s="544"/>
      <c r="S60" s="544"/>
      <c r="T60" s="320"/>
      <c r="V60" s="1231"/>
      <c r="W60" s="1232"/>
      <c r="X60" s="1174"/>
    </row>
    <row r="61" spans="1:24" s="202" customFormat="1" ht="10" customHeight="1">
      <c r="A61" s="206"/>
      <c r="B61" s="210"/>
      <c r="C61" s="206"/>
      <c r="D61" s="206"/>
      <c r="E61" s="206"/>
      <c r="F61" s="206"/>
      <c r="G61" s="206"/>
      <c r="H61" s="238"/>
      <c r="I61" s="238"/>
      <c r="J61" s="239"/>
      <c r="K61" s="238"/>
      <c r="L61" s="239"/>
      <c r="M61" s="238"/>
      <c r="N61" s="239"/>
      <c r="O61" s="239"/>
      <c r="P61" s="239"/>
      <c r="Q61" s="208"/>
      <c r="R61" s="208"/>
      <c r="S61" s="1166" t="s">
        <v>60</v>
      </c>
      <c r="T61" s="321"/>
      <c r="V61" s="1231"/>
      <c r="W61" s="1232"/>
      <c r="X61" s="1174"/>
    </row>
    <row r="62" spans="1:24" s="202" customFormat="1" ht="10" customHeight="1">
      <c r="A62" s="206"/>
      <c r="B62" s="210"/>
      <c r="C62" s="206"/>
      <c r="E62" s="206"/>
      <c r="F62" s="206"/>
      <c r="G62" s="206"/>
      <c r="H62" s="240" t="s">
        <v>60</v>
      </c>
      <c r="I62" s="241"/>
      <c r="J62" s="241"/>
      <c r="K62" s="240"/>
      <c r="L62" s="240"/>
      <c r="M62" s="243" t="s">
        <v>61</v>
      </c>
      <c r="N62" s="241"/>
      <c r="O62" s="240"/>
      <c r="P62" s="240"/>
      <c r="Q62" s="240"/>
      <c r="R62" s="240"/>
      <c r="S62" s="1189" t="s">
        <v>857</v>
      </c>
      <c r="T62" s="321"/>
      <c r="V62" s="1231"/>
      <c r="W62" s="1232"/>
      <c r="X62" s="1174"/>
    </row>
    <row r="63" spans="1:24" ht="10.4" customHeight="1">
      <c r="A63" s="2"/>
      <c r="B63" s="235"/>
      <c r="C63" s="204"/>
      <c r="F63" s="2"/>
      <c r="G63" s="2"/>
      <c r="H63" s="49"/>
      <c r="I63" s="2"/>
      <c r="J63" s="2"/>
      <c r="K63" s="49"/>
      <c r="L63" s="1"/>
      <c r="M63" s="244"/>
      <c r="N63" s="2"/>
      <c r="O63" s="49"/>
      <c r="P63" s="1"/>
      <c r="Q63" s="49"/>
      <c r="R63" s="49"/>
      <c r="S63" s="234"/>
      <c r="T63" s="321"/>
      <c r="V63" s="1231"/>
      <c r="W63" s="1232"/>
      <c r="X63" s="1174"/>
    </row>
    <row r="64" spans="1:24" ht="10.5">
      <c r="A64" s="2"/>
      <c r="B64" s="235"/>
      <c r="C64" s="204"/>
      <c r="E64" s="237" t="s">
        <v>66</v>
      </c>
      <c r="F64" s="2"/>
      <c r="G64" s="2"/>
      <c r="H64" s="202" t="s">
        <v>67</v>
      </c>
      <c r="I64" s="2"/>
      <c r="J64" s="2"/>
      <c r="K64" s="49"/>
      <c r="L64" s="1"/>
      <c r="M64" s="245" t="s">
        <v>67</v>
      </c>
      <c r="N64" s="2"/>
      <c r="O64" s="49"/>
      <c r="P64" s="1"/>
      <c r="T64" s="321"/>
      <c r="V64" s="1231"/>
      <c r="W64" s="1232"/>
      <c r="X64" s="1174"/>
    </row>
    <row r="65" spans="1:24" ht="12" customHeight="1">
      <c r="A65" s="2"/>
      <c r="B65" s="210"/>
      <c r="C65" s="206"/>
      <c r="D65" s="236" t="s">
        <v>65</v>
      </c>
      <c r="E65" s="410"/>
      <c r="F65" s="2"/>
      <c r="G65" s="2"/>
      <c r="H65" s="325">
        <f>SUM(H70:H81)</f>
        <v>0</v>
      </c>
      <c r="I65" s="326"/>
      <c r="J65" s="2"/>
      <c r="K65" s="49"/>
      <c r="L65" s="1"/>
      <c r="M65" s="1191">
        <f>SUM(M70:M81)</f>
        <v>0</v>
      </c>
      <c r="N65" s="326"/>
      <c r="O65" s="49"/>
      <c r="P65" s="1"/>
      <c r="S65" s="323">
        <f>H65+M65</f>
        <v>0</v>
      </c>
      <c r="T65" s="321"/>
      <c r="V65" s="1231"/>
      <c r="W65" s="1232"/>
      <c r="X65" s="1174"/>
    </row>
    <row r="66" spans="1:24" ht="12" customHeight="1">
      <c r="A66" s="2"/>
      <c r="B66" s="210"/>
      <c r="C66" s="206"/>
      <c r="D66" s="236" t="s">
        <v>74</v>
      </c>
      <c r="E66" s="411"/>
      <c r="F66" s="2"/>
      <c r="G66" s="2"/>
      <c r="H66" s="338">
        <f>H65*SUM(E65,E66)</f>
        <v>0</v>
      </c>
      <c r="I66" s="327" t="str">
        <f>IF(H66&gt;0,"SWS","")</f>
        <v/>
      </c>
      <c r="J66" s="2"/>
      <c r="K66" s="49"/>
      <c r="L66" s="1"/>
      <c r="M66" s="1192">
        <f>M65*SUM(E65,E66)</f>
        <v>0</v>
      </c>
      <c r="N66" s="327" t="str">
        <f>IF(M66&gt;0,"SWS","")</f>
        <v/>
      </c>
      <c r="O66" s="49"/>
      <c r="P66" s="1"/>
      <c r="S66" s="55">
        <f>SUM(H66,M66)</f>
        <v>0</v>
      </c>
      <c r="T66" s="321"/>
      <c r="V66" s="1231"/>
      <c r="W66" s="1232"/>
      <c r="X66" s="1174"/>
    </row>
    <row r="67" spans="1:24" ht="10.5">
      <c r="A67" s="2"/>
      <c r="B67" s="13"/>
      <c r="C67" s="2"/>
      <c r="D67" s="2"/>
      <c r="E67" s="324">
        <f>SUM(E65:E66)</f>
        <v>0</v>
      </c>
      <c r="F67" s="2"/>
      <c r="G67" s="2"/>
      <c r="H67" s="2"/>
      <c r="I67" s="2"/>
      <c r="J67" s="2"/>
      <c r="K67" s="49"/>
      <c r="L67" s="1"/>
      <c r="M67" s="244"/>
      <c r="N67" s="2"/>
      <c r="O67" s="49"/>
      <c r="P67" s="49"/>
      <c r="Q67" s="49"/>
      <c r="R67" s="49"/>
      <c r="S67" s="49"/>
      <c r="T67" s="321"/>
      <c r="V67" s="1231"/>
      <c r="W67" s="1232"/>
      <c r="X67" s="1174"/>
    </row>
    <row r="68" spans="1:24">
      <c r="A68" s="2"/>
      <c r="B68" s="13"/>
      <c r="C68" s="2"/>
      <c r="D68" s="2"/>
      <c r="F68" s="2"/>
      <c r="G68" s="2"/>
      <c r="H68" s="2"/>
      <c r="I68" s="2"/>
      <c r="J68" s="2"/>
      <c r="K68" s="113" t="s">
        <v>97</v>
      </c>
      <c r="L68" s="1"/>
      <c r="M68" s="244"/>
      <c r="N68" s="2"/>
      <c r="O68" s="49"/>
      <c r="P68" s="113" t="s">
        <v>97</v>
      </c>
      <c r="Q68" s="49"/>
      <c r="R68" s="49"/>
      <c r="S68" s="49"/>
      <c r="T68" s="321"/>
      <c r="V68" s="1231"/>
      <c r="W68" s="1232"/>
      <c r="X68" s="1174"/>
    </row>
    <row r="69" spans="1:24" ht="13.4" customHeight="1">
      <c r="A69" s="2"/>
      <c r="B69" s="13"/>
      <c r="C69" s="2"/>
      <c r="D69" s="2"/>
      <c r="E69" s="114"/>
      <c r="F69" s="2"/>
      <c r="G69" s="2"/>
      <c r="H69" s="113" t="s">
        <v>83</v>
      </c>
      <c r="I69" s="113" t="s">
        <v>31</v>
      </c>
      <c r="J69" s="113" t="s">
        <v>32</v>
      </c>
      <c r="K69" s="113" t="s">
        <v>96</v>
      </c>
      <c r="L69" s="113" t="s">
        <v>94</v>
      </c>
      <c r="M69" s="319" t="s">
        <v>83</v>
      </c>
      <c r="N69" s="113" t="s">
        <v>31</v>
      </c>
      <c r="O69" s="113" t="s">
        <v>32</v>
      </c>
      <c r="P69" s="113" t="s">
        <v>96</v>
      </c>
      <c r="Q69" s="113" t="s">
        <v>94</v>
      </c>
      <c r="R69" s="113"/>
      <c r="S69" s="49"/>
      <c r="T69" s="321"/>
      <c r="V69" s="1231"/>
      <c r="W69" s="1232"/>
      <c r="X69" s="1174"/>
    </row>
    <row r="70" spans="1:24" ht="11.15" customHeight="1">
      <c r="A70" s="2"/>
      <c r="B70" s="13"/>
      <c r="C70" s="2"/>
      <c r="D70" s="734"/>
      <c r="E70" s="734"/>
      <c r="F70" s="740" t="s">
        <v>201</v>
      </c>
      <c r="G70" s="2"/>
      <c r="H70" s="397"/>
      <c r="I70" s="398"/>
      <c r="J70" s="399"/>
      <c r="K70" s="400"/>
      <c r="L70" s="337">
        <f>IFERROR($E$67*H70*I70/J70*K70,0)</f>
        <v>0</v>
      </c>
      <c r="M70" s="402"/>
      <c r="N70" s="398"/>
      <c r="O70" s="399"/>
      <c r="P70" s="400"/>
      <c r="Q70" s="115">
        <f>IFERROR($E$67*M70*N70/O70*P70,0)</f>
        <v>0</v>
      </c>
      <c r="R70" s="342"/>
      <c r="S70" s="49"/>
      <c r="T70" s="321"/>
      <c r="V70" s="1200"/>
      <c r="W70" s="1201"/>
      <c r="X70" s="1202"/>
    </row>
    <row r="71" spans="1:24" ht="11.15" customHeight="1">
      <c r="B71" s="13"/>
      <c r="C71" s="2"/>
      <c r="D71" s="735"/>
      <c r="E71" s="735"/>
      <c r="F71" s="741" t="s">
        <v>202</v>
      </c>
      <c r="G71" s="2"/>
      <c r="H71" s="401"/>
      <c r="I71" s="398"/>
      <c r="J71" s="399"/>
      <c r="K71" s="400"/>
      <c r="L71" s="337">
        <f>IFERROR($E$67*H71*I71/J71*K71,0)</f>
        <v>0</v>
      </c>
      <c r="M71" s="403"/>
      <c r="N71" s="398"/>
      <c r="O71" s="399"/>
      <c r="P71" s="400"/>
      <c r="Q71" s="115">
        <f t="shared" ref="Q71:Q81" si="0">IFERROR($E$67*M71*N71/O71*P71,0)</f>
        <v>0</v>
      </c>
      <c r="R71" s="342"/>
      <c r="S71" s="49"/>
      <c r="T71" s="321"/>
      <c r="V71" s="1200"/>
      <c r="W71" s="1201"/>
      <c r="X71" s="1202"/>
    </row>
    <row r="72" spans="1:24" ht="11.5" customHeight="1">
      <c r="B72" s="13"/>
      <c r="C72" s="2"/>
      <c r="D72" s="735"/>
      <c r="E72" s="735"/>
      <c r="F72" s="741" t="s">
        <v>203</v>
      </c>
      <c r="G72" s="2"/>
      <c r="H72" s="401"/>
      <c r="I72" s="398"/>
      <c r="J72" s="399"/>
      <c r="K72" s="400"/>
      <c r="L72" s="337">
        <f>IFERROR($E$67*H72*I72/J72*K72,0)</f>
        <v>0</v>
      </c>
      <c r="M72" s="403"/>
      <c r="N72" s="398"/>
      <c r="O72" s="399"/>
      <c r="P72" s="400"/>
      <c r="Q72" s="115">
        <f t="shared" si="0"/>
        <v>0</v>
      </c>
      <c r="R72" s="342"/>
      <c r="S72" s="49"/>
      <c r="T72" s="321"/>
      <c r="V72" s="1200"/>
      <c r="W72" s="1201"/>
      <c r="X72" s="1202"/>
    </row>
    <row r="73" spans="1:24">
      <c r="B73" s="13"/>
      <c r="C73" s="2"/>
      <c r="D73" s="735"/>
      <c r="E73" s="735"/>
      <c r="F73" s="741"/>
      <c r="G73" s="2"/>
      <c r="H73" s="401"/>
      <c r="I73" s="398"/>
      <c r="J73" s="399"/>
      <c r="K73" s="400"/>
      <c r="L73" s="337">
        <f t="shared" ref="L73:L81" si="1">IFERROR($E$67*H73*I73/J73*K73,0)</f>
        <v>0</v>
      </c>
      <c r="M73" s="403"/>
      <c r="N73" s="398"/>
      <c r="O73" s="399"/>
      <c r="P73" s="400"/>
      <c r="Q73" s="115">
        <f t="shared" si="0"/>
        <v>0</v>
      </c>
      <c r="R73" s="342"/>
      <c r="S73" s="49"/>
      <c r="T73" s="321"/>
      <c r="V73" s="1200"/>
      <c r="W73" s="1201"/>
      <c r="X73" s="1202"/>
    </row>
    <row r="74" spans="1:24">
      <c r="B74" s="13"/>
      <c r="C74" s="2"/>
      <c r="D74" s="736"/>
      <c r="E74" s="737"/>
      <c r="F74" s="741"/>
      <c r="G74" s="2"/>
      <c r="H74" s="401"/>
      <c r="I74" s="398"/>
      <c r="J74" s="399"/>
      <c r="K74" s="400"/>
      <c r="L74" s="337">
        <f t="shared" si="1"/>
        <v>0</v>
      </c>
      <c r="M74" s="403"/>
      <c r="N74" s="398"/>
      <c r="O74" s="399"/>
      <c r="P74" s="400"/>
      <c r="Q74" s="115">
        <f t="shared" si="0"/>
        <v>0</v>
      </c>
      <c r="R74" s="342"/>
      <c r="S74" s="49"/>
      <c r="T74" s="321"/>
      <c r="V74" s="1200"/>
      <c r="W74" s="1201"/>
      <c r="X74" s="1202"/>
    </row>
    <row r="75" spans="1:24">
      <c r="B75" s="13"/>
      <c r="C75" s="2"/>
      <c r="D75" s="736"/>
      <c r="E75" s="737"/>
      <c r="F75" s="741"/>
      <c r="G75" s="2"/>
      <c r="H75" s="401"/>
      <c r="I75" s="398"/>
      <c r="J75" s="399"/>
      <c r="K75" s="400"/>
      <c r="L75" s="337">
        <f t="shared" si="1"/>
        <v>0</v>
      </c>
      <c r="M75" s="403"/>
      <c r="N75" s="398"/>
      <c r="O75" s="399"/>
      <c r="P75" s="400"/>
      <c r="Q75" s="115">
        <f t="shared" si="0"/>
        <v>0</v>
      </c>
      <c r="R75" s="342"/>
      <c r="S75" s="49"/>
      <c r="T75" s="321"/>
      <c r="V75" s="1200"/>
      <c r="W75" s="1201"/>
      <c r="X75" s="1202"/>
    </row>
    <row r="76" spans="1:24">
      <c r="B76" s="13"/>
      <c r="C76" s="2"/>
      <c r="D76" s="736"/>
      <c r="E76" s="737"/>
      <c r="F76" s="741"/>
      <c r="G76" s="2"/>
      <c r="H76" s="401"/>
      <c r="I76" s="398"/>
      <c r="J76" s="399"/>
      <c r="K76" s="400"/>
      <c r="L76" s="337">
        <f t="shared" si="1"/>
        <v>0</v>
      </c>
      <c r="M76" s="403"/>
      <c r="N76" s="398"/>
      <c r="O76" s="399"/>
      <c r="P76" s="400"/>
      <c r="Q76" s="115">
        <f t="shared" si="0"/>
        <v>0</v>
      </c>
      <c r="R76" s="342"/>
      <c r="S76" s="49"/>
      <c r="T76" s="321"/>
      <c r="V76" s="1200"/>
      <c r="W76" s="1201"/>
      <c r="X76" s="1202"/>
    </row>
    <row r="77" spans="1:24">
      <c r="B77" s="13"/>
      <c r="C77" s="2"/>
      <c r="D77" s="736"/>
      <c r="E77" s="737"/>
      <c r="F77" s="741"/>
      <c r="G77" s="2"/>
      <c r="H77" s="401"/>
      <c r="I77" s="398"/>
      <c r="J77" s="399"/>
      <c r="K77" s="400"/>
      <c r="L77" s="337">
        <f t="shared" si="1"/>
        <v>0</v>
      </c>
      <c r="M77" s="403"/>
      <c r="N77" s="398"/>
      <c r="O77" s="399"/>
      <c r="P77" s="400"/>
      <c r="Q77" s="115">
        <f t="shared" si="0"/>
        <v>0</v>
      </c>
      <c r="R77" s="342"/>
      <c r="S77" s="49"/>
      <c r="T77" s="321"/>
      <c r="V77" s="1200"/>
      <c r="W77" s="1201"/>
      <c r="X77" s="1202"/>
    </row>
    <row r="78" spans="1:24">
      <c r="B78" s="13"/>
      <c r="C78" s="2"/>
      <c r="D78" s="736"/>
      <c r="E78" s="737"/>
      <c r="F78" s="741"/>
      <c r="G78" s="2"/>
      <c r="H78" s="401"/>
      <c r="I78" s="398"/>
      <c r="J78" s="399"/>
      <c r="K78" s="400"/>
      <c r="L78" s="337">
        <f t="shared" si="1"/>
        <v>0</v>
      </c>
      <c r="M78" s="403"/>
      <c r="N78" s="398"/>
      <c r="O78" s="399"/>
      <c r="P78" s="400"/>
      <c r="Q78" s="115">
        <f t="shared" si="0"/>
        <v>0</v>
      </c>
      <c r="R78" s="342"/>
      <c r="S78" s="49"/>
      <c r="T78" s="321"/>
      <c r="V78" s="1200"/>
      <c r="W78" s="1201"/>
      <c r="X78" s="1202"/>
    </row>
    <row r="79" spans="1:24">
      <c r="B79" s="13"/>
      <c r="C79" s="2"/>
      <c r="D79" s="736"/>
      <c r="E79" s="737"/>
      <c r="F79" s="741"/>
      <c r="G79" s="2"/>
      <c r="H79" s="401"/>
      <c r="I79" s="398"/>
      <c r="J79" s="399"/>
      <c r="K79" s="400"/>
      <c r="L79" s="337">
        <f t="shared" si="1"/>
        <v>0</v>
      </c>
      <c r="M79" s="403"/>
      <c r="N79" s="398"/>
      <c r="O79" s="399"/>
      <c r="P79" s="400"/>
      <c r="Q79" s="115">
        <f t="shared" si="0"/>
        <v>0</v>
      </c>
      <c r="R79" s="342"/>
      <c r="S79" s="49"/>
      <c r="T79" s="321"/>
      <c r="V79" s="1200"/>
      <c r="W79" s="1201"/>
      <c r="X79" s="1202"/>
    </row>
    <row r="80" spans="1:24">
      <c r="B80" s="13"/>
      <c r="C80" s="2"/>
      <c r="D80" s="736"/>
      <c r="E80" s="737"/>
      <c r="F80" s="741"/>
      <c r="G80" s="2"/>
      <c r="H80" s="401"/>
      <c r="I80" s="398"/>
      <c r="J80" s="399"/>
      <c r="K80" s="400"/>
      <c r="L80" s="337">
        <f t="shared" si="1"/>
        <v>0</v>
      </c>
      <c r="M80" s="403"/>
      <c r="N80" s="398"/>
      <c r="O80" s="399"/>
      <c r="P80" s="400"/>
      <c r="Q80" s="115">
        <f t="shared" si="0"/>
        <v>0</v>
      </c>
      <c r="R80" s="342"/>
      <c r="S80" s="49"/>
      <c r="T80" s="321"/>
      <c r="V80" s="1200"/>
      <c r="W80" s="1201"/>
      <c r="X80" s="1202"/>
    </row>
    <row r="81" spans="1:24">
      <c r="B81" s="13"/>
      <c r="C81" s="2"/>
      <c r="D81" s="738"/>
      <c r="E81" s="739"/>
      <c r="F81" s="742"/>
      <c r="G81" s="2"/>
      <c r="H81" s="401"/>
      <c r="I81" s="398"/>
      <c r="J81" s="399"/>
      <c r="K81" s="400"/>
      <c r="L81" s="337">
        <f t="shared" si="1"/>
        <v>0</v>
      </c>
      <c r="M81" s="403"/>
      <c r="N81" s="398"/>
      <c r="O81" s="399"/>
      <c r="P81" s="400"/>
      <c r="Q81" s="115">
        <f t="shared" si="0"/>
        <v>0</v>
      </c>
      <c r="R81" s="342"/>
      <c r="S81" s="49"/>
      <c r="T81" s="321"/>
      <c r="V81" s="1200"/>
      <c r="W81" s="1201"/>
      <c r="X81" s="1202"/>
    </row>
    <row r="82" spans="1:24">
      <c r="B82" s="13"/>
      <c r="C82" s="2"/>
      <c r="D82" s="2"/>
      <c r="E82" s="2"/>
      <c r="F82" s="2"/>
      <c r="G82" s="2"/>
      <c r="H82" s="49"/>
      <c r="I82" s="2"/>
      <c r="J82" s="49"/>
      <c r="L82" s="49"/>
      <c r="M82" s="335"/>
      <c r="N82" s="49"/>
      <c r="O82" s="49"/>
      <c r="P82" s="49"/>
      <c r="Q82" s="49"/>
      <c r="R82" s="49"/>
      <c r="S82" s="208" t="s">
        <v>99</v>
      </c>
      <c r="T82" s="321"/>
      <c r="V82" s="1231"/>
      <c r="W82" s="1232"/>
      <c r="X82" s="1174"/>
    </row>
    <row r="83" spans="1:24" ht="12" customHeight="1">
      <c r="B83" s="13"/>
      <c r="C83" s="2"/>
      <c r="D83" s="236" t="s">
        <v>182</v>
      </c>
      <c r="E83" s="2"/>
      <c r="F83" s="2"/>
      <c r="G83" s="2"/>
      <c r="H83" s="49"/>
      <c r="I83" s="2"/>
      <c r="K83" s="116" t="s">
        <v>196</v>
      </c>
      <c r="L83" s="412"/>
      <c r="M83" s="336"/>
      <c r="N83" s="1"/>
      <c r="O83" s="1"/>
      <c r="P83" s="116" t="s">
        <v>196</v>
      </c>
      <c r="Q83" s="413"/>
      <c r="R83" s="343"/>
      <c r="S83" s="208" t="s">
        <v>98</v>
      </c>
      <c r="T83" s="321"/>
      <c r="V83" s="1231"/>
      <c r="W83" s="1232"/>
      <c r="X83" s="1174"/>
    </row>
    <row r="84" spans="1:24" ht="12" customHeight="1">
      <c r="B84" s="13"/>
      <c r="C84" s="2"/>
      <c r="D84" s="236" t="s">
        <v>183</v>
      </c>
      <c r="E84" s="408"/>
      <c r="F84" s="2"/>
      <c r="G84" s="2"/>
      <c r="H84" s="49"/>
      <c r="I84" s="2"/>
      <c r="J84" s="49"/>
      <c r="K84" s="435" t="s">
        <v>26</v>
      </c>
      <c r="L84" s="334">
        <f>IF(L83=0,SUM(L70:L81),L83)</f>
        <v>0</v>
      </c>
      <c r="M84" s="336"/>
      <c r="N84" s="1"/>
      <c r="O84" s="1"/>
      <c r="P84" s="435" t="s">
        <v>26</v>
      </c>
      <c r="Q84" s="118">
        <f>IF(Q83=0,SUM(Q70:Q81),Q83)</f>
        <v>0</v>
      </c>
      <c r="R84" s="344"/>
      <c r="S84" s="118">
        <f>L84+Q84*'HAW-Kennwerte'!$R$30</f>
        <v>0</v>
      </c>
      <c r="T84" s="321"/>
      <c r="V84" s="1200"/>
      <c r="W84" s="1201"/>
      <c r="X84" s="1202"/>
    </row>
    <row r="85" spans="1:24" ht="10.5">
      <c r="B85" s="13"/>
      <c r="C85" s="2"/>
      <c r="D85" s="2"/>
      <c r="E85" s="2"/>
      <c r="F85" s="2"/>
      <c r="G85" s="2"/>
      <c r="H85" s="49"/>
      <c r="I85" s="2"/>
      <c r="J85" s="49"/>
      <c r="K85" s="242"/>
      <c r="L85" s="2"/>
      <c r="M85" s="336"/>
      <c r="N85" s="1"/>
      <c r="O85" s="1"/>
      <c r="P85" s="49"/>
      <c r="Q85" s="242"/>
      <c r="R85" s="242"/>
      <c r="S85" s="242"/>
      <c r="T85" s="321"/>
      <c r="V85" s="1231"/>
      <c r="W85" s="1232"/>
      <c r="X85" s="1174"/>
    </row>
    <row r="86" spans="1:24" ht="12" customHeight="1">
      <c r="B86" s="13"/>
      <c r="C86" s="2"/>
      <c r="D86" s="716" t="s">
        <v>194</v>
      </c>
      <c r="E86" s="745" t="s">
        <v>195</v>
      </c>
      <c r="F86" s="2"/>
      <c r="G86" s="2"/>
      <c r="I86" s="206"/>
      <c r="J86" s="208"/>
      <c r="K86" s="242"/>
      <c r="L86" s="204"/>
      <c r="M86" s="204"/>
      <c r="N86" s="203"/>
      <c r="O86" s="203"/>
      <c r="P86" s="791"/>
      <c r="Q86" s="202"/>
      <c r="R86" s="607"/>
      <c r="S86" s="607"/>
      <c r="T86" s="321"/>
      <c r="V86" s="1231"/>
      <c r="W86" s="1232"/>
      <c r="X86" s="1174"/>
    </row>
    <row r="87" spans="1:24" ht="12" customHeight="1">
      <c r="B87" s="13"/>
      <c r="C87" s="2"/>
      <c r="D87" s="2"/>
      <c r="E87" s="2"/>
      <c r="F87" s="2"/>
      <c r="G87" s="2"/>
      <c r="H87" s="49"/>
      <c r="I87" s="206"/>
      <c r="J87" s="202"/>
      <c r="K87" s="206">
        <f>IF($Q$87&gt;2023,$Q$87-6,"")</f>
        <v>2019</v>
      </c>
      <c r="L87" s="206">
        <f>IF($Q$87&gt;2023,$Q$87-5,"")</f>
        <v>2020</v>
      </c>
      <c r="M87" s="206">
        <f>IF($Q$87&gt;2023,$Q$87-4,"")</f>
        <v>2021</v>
      </c>
      <c r="N87" s="206">
        <f>IF($Q$87&gt;2023,$Q$87-3,"")</f>
        <v>2022</v>
      </c>
      <c r="O87" s="206">
        <f>IF($Q$87&gt;2023,$Q$87-2,"")</f>
        <v>2023</v>
      </c>
      <c r="P87" s="206">
        <f>IF($Q$87&gt;2023,$Q$87-1,"")</f>
        <v>2024</v>
      </c>
      <c r="Q87" s="717">
        <v>2025</v>
      </c>
      <c r="R87" s="50"/>
      <c r="S87" s="202"/>
      <c r="T87" s="321"/>
      <c r="V87" s="1231"/>
      <c r="W87" s="1232"/>
      <c r="X87" s="1174"/>
    </row>
    <row r="88" spans="1:24" ht="12" customHeight="1">
      <c r="B88" s="13"/>
      <c r="C88" s="2"/>
      <c r="D88" s="2"/>
      <c r="E88" s="2"/>
      <c r="F88" s="2"/>
      <c r="G88" s="2"/>
      <c r="H88" s="49"/>
      <c r="I88" s="206"/>
      <c r="J88" s="435" t="s">
        <v>245</v>
      </c>
      <c r="K88" s="816"/>
      <c r="L88" s="816"/>
      <c r="M88" s="816"/>
      <c r="N88" s="816"/>
      <c r="O88" s="816"/>
      <c r="P88" s="816"/>
      <c r="Q88" s="816"/>
      <c r="R88" s="50"/>
      <c r="S88" s="744">
        <f>IF(S89&gt;0,IF(S89&gt;1,0,S89),IFERROR(IF((K88*3+L88*4+M88*5+N88*6+O88*7+P88*8+Q88*9)/42&gt;1,1,(K88*3+L88*4+M88*5+N88*6+O88*7+P88*8+Q88*9)/42),""))</f>
        <v>0</v>
      </c>
      <c r="T88" s="321"/>
      <c r="V88" s="1233"/>
      <c r="W88" s="1234"/>
      <c r="X88" s="1235"/>
    </row>
    <row r="89" spans="1:24" ht="12" customHeight="1">
      <c r="B89" s="13"/>
      <c r="C89" s="2"/>
      <c r="D89" s="2"/>
      <c r="E89" s="2"/>
      <c r="F89" s="2"/>
      <c r="G89" s="2"/>
      <c r="H89" s="49"/>
      <c r="I89" s="206"/>
      <c r="J89" s="208"/>
      <c r="K89" s="743" t="s">
        <v>246</v>
      </c>
      <c r="L89" s="203"/>
      <c r="M89" s="203"/>
      <c r="N89" s="203"/>
      <c r="O89" s="203"/>
      <c r="P89" s="607"/>
      <c r="Q89" s="202"/>
      <c r="R89" s="50"/>
      <c r="S89" s="1187"/>
      <c r="T89" s="321"/>
    </row>
    <row r="90" spans="1:24">
      <c r="B90" s="45"/>
      <c r="C90" s="46"/>
      <c r="D90" s="46"/>
      <c r="E90" s="46"/>
      <c r="F90" s="46"/>
      <c r="G90" s="46"/>
      <c r="H90" s="46"/>
      <c r="I90" s="46"/>
      <c r="J90" s="119"/>
      <c r="K90" s="46"/>
      <c r="L90" s="119"/>
      <c r="M90" s="46"/>
      <c r="N90" s="119"/>
      <c r="O90" s="230"/>
      <c r="P90" s="119"/>
      <c r="Q90" s="119"/>
      <c r="R90" s="119"/>
      <c r="S90" s="119"/>
      <c r="T90" s="322"/>
    </row>
    <row r="91" spans="1:24">
      <c r="B91" s="12" t="s">
        <v>100</v>
      </c>
      <c r="H91" s="2"/>
      <c r="I91" s="2"/>
      <c r="J91" s="49"/>
      <c r="K91" s="2"/>
      <c r="L91" s="49"/>
      <c r="M91" s="2"/>
      <c r="N91" s="49"/>
      <c r="O91" s="49"/>
      <c r="P91" s="49"/>
      <c r="Q91" s="49"/>
      <c r="R91" s="49"/>
      <c r="S91" s="49"/>
      <c r="T91" s="121"/>
    </row>
    <row r="92" spans="1:24">
      <c r="A92" s="106"/>
      <c r="B92" s="209" t="s">
        <v>68</v>
      </c>
      <c r="C92" s="106"/>
      <c r="D92" s="106"/>
      <c r="E92" s="106"/>
      <c r="F92" s="106"/>
      <c r="G92" s="106"/>
      <c r="H92" s="106"/>
      <c r="I92" s="106"/>
      <c r="J92" s="107"/>
      <c r="K92" s="106"/>
      <c r="L92" s="107"/>
      <c r="M92" s="106"/>
      <c r="N92" s="107"/>
      <c r="O92" s="107"/>
      <c r="P92" s="107"/>
      <c r="Q92" s="107"/>
      <c r="R92" s="107"/>
      <c r="S92" s="107"/>
      <c r="T92" s="107"/>
    </row>
    <row r="93" spans="1:24">
      <c r="Q93" s="201"/>
      <c r="R93" s="201"/>
      <c r="S93" s="201" t="str">
        <f>HAW!B28</f>
        <v>Kennwertverfahren NRW für HAW; HIS-Institut für Hochschulentwicklung e.V. (24.04.2026)</v>
      </c>
      <c r="T93" s="201"/>
    </row>
    <row r="95" spans="1:24">
      <c r="B95" s="229"/>
      <c r="C95" s="202"/>
    </row>
    <row r="96" spans="1:24" ht="10.5">
      <c r="B96" s="794" t="str">
        <f>IF(B8=0,B7,CONCATENATE(B7,B8))</f>
        <v>Hochschule …</v>
      </c>
      <c r="C96" s="795"/>
      <c r="D96" s="795"/>
      <c r="E96" s="795"/>
      <c r="F96" s="795"/>
      <c r="G96" s="795"/>
      <c r="H96" s="795"/>
      <c r="I96" s="795"/>
      <c r="J96" s="796"/>
      <c r="K96" s="795"/>
      <c r="L96" s="796"/>
      <c r="M96" s="795"/>
      <c r="N96" s="796"/>
      <c r="O96" s="796"/>
      <c r="P96" s="796"/>
      <c r="Q96" s="796"/>
      <c r="R96" s="796"/>
      <c r="S96" s="796"/>
    </row>
    <row r="97" spans="2:19">
      <c r="B97" s="795" t="str">
        <f>B9</f>
        <v>[Fakultät/Fachbereich]</v>
      </c>
      <c r="C97" s="795"/>
      <c r="D97" s="795"/>
      <c r="E97" s="795"/>
      <c r="F97" s="795"/>
      <c r="G97" s="795"/>
      <c r="H97" s="795"/>
      <c r="I97" s="795"/>
      <c r="J97" s="796"/>
      <c r="K97" s="795"/>
      <c r="L97" s="796"/>
      <c r="M97" s="795"/>
      <c r="N97" s="796"/>
      <c r="O97" s="796"/>
      <c r="P97" s="796"/>
      <c r="Q97" s="796"/>
      <c r="R97" s="796"/>
      <c r="S97" s="796"/>
    </row>
    <row r="98" spans="2:19">
      <c r="B98" s="795" t="str">
        <f>B10</f>
        <v>[Department, Institut o.a.]</v>
      </c>
      <c r="C98" s="795"/>
      <c r="D98" s="795"/>
      <c r="E98" s="795"/>
      <c r="F98" s="795"/>
      <c r="G98" s="795"/>
      <c r="H98" s="795"/>
      <c r="I98" s="795"/>
      <c r="J98" s="796"/>
      <c r="K98" s="795"/>
      <c r="L98" s="796"/>
      <c r="M98" s="795"/>
      <c r="N98" s="796"/>
      <c r="O98" s="796"/>
      <c r="P98" s="796"/>
      <c r="Q98" s="796"/>
      <c r="R98" s="796"/>
      <c r="S98" s="796"/>
    </row>
    <row r="99" spans="2:19">
      <c r="B99" s="795" t="str">
        <f>CONCATENATE(B12,": ",B13)</f>
        <v>Lehr- und Forschungsbereich: Wirtschaftswissenschaften</v>
      </c>
      <c r="C99" s="795"/>
      <c r="D99" s="795"/>
      <c r="E99" s="795"/>
      <c r="F99" s="795"/>
      <c r="G99" s="795"/>
      <c r="H99" s="795"/>
      <c r="I99" s="795"/>
      <c r="J99" s="796"/>
      <c r="K99" s="795"/>
      <c r="L99" s="796"/>
      <c r="M99" s="795"/>
      <c r="N99" s="796"/>
      <c r="O99" s="796"/>
      <c r="P99" s="796"/>
      <c r="Q99" s="796"/>
      <c r="R99" s="796"/>
      <c r="S99" s="796"/>
    </row>
    <row r="100" spans="2:19">
      <c r="B100" s="202"/>
      <c r="C100" s="202"/>
      <c r="D100" s="202"/>
      <c r="E100" s="202"/>
      <c r="F100" s="202"/>
      <c r="G100" s="202"/>
      <c r="H100" s="202"/>
      <c r="I100" s="202"/>
      <c r="J100" s="607"/>
      <c r="K100" s="202"/>
      <c r="L100" s="607"/>
      <c r="M100" s="202"/>
      <c r="N100" s="607"/>
      <c r="O100" s="607"/>
      <c r="P100" s="607"/>
      <c r="Q100" s="607"/>
      <c r="R100" s="607"/>
      <c r="S100" s="607"/>
    </row>
    <row r="101" spans="2:19">
      <c r="B101" s="110" t="s">
        <v>255</v>
      </c>
      <c r="C101" s="206"/>
      <c r="D101" s="206"/>
      <c r="E101" s="206"/>
      <c r="F101" s="206"/>
      <c r="G101" s="206"/>
      <c r="H101" s="206"/>
      <c r="I101" s="206"/>
      <c r="J101" s="208"/>
      <c r="K101" s="206"/>
      <c r="L101" s="208"/>
      <c r="M101" s="206"/>
      <c r="N101" s="208"/>
      <c r="O101" s="208"/>
      <c r="P101" s="208"/>
      <c r="Q101" s="208"/>
      <c r="R101" s="208"/>
      <c r="S101" s="208"/>
    </row>
    <row r="102" spans="2:19">
      <c r="B102" s="909"/>
      <c r="C102" s="910"/>
      <c r="D102" s="910"/>
      <c r="E102" s="910"/>
      <c r="F102" s="910"/>
      <c r="G102" s="910"/>
      <c r="H102" s="910"/>
      <c r="I102" s="910"/>
      <c r="J102" s="544"/>
      <c r="K102" s="910"/>
      <c r="L102" s="544"/>
      <c r="M102" s="910"/>
      <c r="N102" s="544"/>
      <c r="O102" s="544"/>
      <c r="P102" s="544"/>
      <c r="Q102" s="544"/>
      <c r="R102" s="544"/>
      <c r="S102" s="1173"/>
    </row>
    <row r="103" spans="2:19" ht="10.5">
      <c r="B103" s="210"/>
      <c r="C103" s="206"/>
      <c r="D103" s="206"/>
      <c r="E103" s="206"/>
      <c r="F103" s="206"/>
      <c r="G103" s="207" t="s">
        <v>249</v>
      </c>
      <c r="H103" s="817">
        <f>SUM(H107:H126)</f>
        <v>0</v>
      </c>
      <c r="I103" s="208"/>
      <c r="J103" s="208"/>
      <c r="K103" s="206"/>
      <c r="L103" s="208"/>
      <c r="M103" s="206"/>
      <c r="N103" s="208"/>
      <c r="O103" s="1166" t="s">
        <v>256</v>
      </c>
      <c r="P103" s="818">
        <f>SUMPRODUCT(H107:H126,P107:P126)</f>
        <v>0</v>
      </c>
      <c r="Q103" s="208"/>
      <c r="R103" s="208"/>
      <c r="S103" s="1174"/>
    </row>
    <row r="104" spans="2:19">
      <c r="B104" s="210"/>
      <c r="C104" s="206"/>
      <c r="D104" s="206"/>
      <c r="E104" s="206"/>
      <c r="F104" s="206"/>
      <c r="G104" s="207"/>
      <c r="H104" s="798"/>
      <c r="I104" s="206"/>
      <c r="J104" s="208"/>
      <c r="K104" s="206"/>
      <c r="L104" s="208"/>
      <c r="M104" s="206"/>
      <c r="N104" s="207"/>
      <c r="O104" s="208"/>
      <c r="P104" s="819"/>
      <c r="Q104" s="208"/>
      <c r="R104" s="208"/>
      <c r="S104" s="1174"/>
    </row>
    <row r="105" spans="2:19">
      <c r="B105" s="210"/>
      <c r="C105" s="206"/>
      <c r="D105" s="206"/>
      <c r="E105" s="206"/>
      <c r="F105" s="206"/>
      <c r="G105" s="206"/>
      <c r="H105" s="206"/>
      <c r="I105" s="206"/>
      <c r="J105" s="208"/>
      <c r="K105" s="206"/>
      <c r="L105" s="208"/>
      <c r="M105" s="206"/>
      <c r="N105" s="208"/>
      <c r="O105" s="208"/>
      <c r="P105" s="208"/>
      <c r="Q105" s="208"/>
      <c r="R105" s="208"/>
      <c r="S105" s="1174"/>
    </row>
    <row r="106" spans="2:19" ht="10.5">
      <c r="B106" s="1175" t="s">
        <v>250</v>
      </c>
      <c r="C106" s="800" t="s">
        <v>251</v>
      </c>
      <c r="D106" s="238"/>
      <c r="E106" s="238"/>
      <c r="F106" s="238"/>
      <c r="G106" s="238"/>
      <c r="H106" s="239" t="s">
        <v>252</v>
      </c>
      <c r="I106" s="238" t="s">
        <v>253</v>
      </c>
      <c r="J106" s="238"/>
      <c r="K106" s="239"/>
      <c r="L106" s="238"/>
      <c r="M106" s="239"/>
      <c r="N106" s="208"/>
      <c r="O106" s="801" t="s">
        <v>257</v>
      </c>
      <c r="P106" s="239" t="s">
        <v>258</v>
      </c>
      <c r="Q106" s="239"/>
      <c r="R106" s="208"/>
      <c r="S106" s="1174"/>
    </row>
    <row r="107" spans="2:19">
      <c r="B107" s="210">
        <f>IF(COUNTA(C107)=1,1,"")</f>
        <v>1</v>
      </c>
      <c r="C107" s="802" t="s">
        <v>254</v>
      </c>
      <c r="D107" s="803"/>
      <c r="E107" s="803"/>
      <c r="F107" s="803"/>
      <c r="G107" s="803"/>
      <c r="H107" s="804"/>
      <c r="I107" s="802"/>
      <c r="J107" s="803"/>
      <c r="K107" s="803"/>
      <c r="L107" s="803"/>
      <c r="M107" s="803"/>
      <c r="N107" s="803"/>
      <c r="O107" s="805"/>
      <c r="P107" s="806"/>
      <c r="Q107" s="820"/>
      <c r="R107" s="807">
        <f>SUM(O107:P107)</f>
        <v>0</v>
      </c>
      <c r="S107" s="1174"/>
    </row>
    <row r="108" spans="2:19">
      <c r="B108" s="210" t="str">
        <f>IF(COUNTA(C108)=1,MAX(B$107:B107)+1,"")</f>
        <v/>
      </c>
      <c r="C108" s="808"/>
      <c r="D108" s="809"/>
      <c r="E108" s="809"/>
      <c r="F108" s="809"/>
      <c r="G108" s="809"/>
      <c r="H108" s="810"/>
      <c r="I108" s="808"/>
      <c r="J108" s="809"/>
      <c r="K108" s="809"/>
      <c r="L108" s="809"/>
      <c r="M108" s="809"/>
      <c r="N108" s="809"/>
      <c r="O108" s="811"/>
      <c r="P108" s="812"/>
      <c r="Q108" s="821">
        <v>0</v>
      </c>
      <c r="R108" s="807">
        <f>SUM(O108:P108)</f>
        <v>0</v>
      </c>
      <c r="S108" s="1174"/>
    </row>
    <row r="109" spans="2:19">
      <c r="B109" s="210" t="str">
        <f>IF(COUNTA(C109)=1,MAX(B$107:B108)+1,"")</f>
        <v/>
      </c>
      <c r="C109" s="808"/>
      <c r="D109" s="809"/>
      <c r="E109" s="809"/>
      <c r="F109" s="809"/>
      <c r="G109" s="809"/>
      <c r="H109" s="810"/>
      <c r="I109" s="808"/>
      <c r="J109" s="809"/>
      <c r="K109" s="809"/>
      <c r="L109" s="809"/>
      <c r="M109" s="809"/>
      <c r="N109" s="809"/>
      <c r="O109" s="811"/>
      <c r="P109" s="812"/>
      <c r="Q109" s="821"/>
      <c r="R109" s="807">
        <f t="shared" ref="R109:R126" si="2">SUM(O109:P109)</f>
        <v>0</v>
      </c>
      <c r="S109" s="1174"/>
    </row>
    <row r="110" spans="2:19">
      <c r="B110" s="210" t="str">
        <f>IF(COUNTA(C110)=1,MAX(B$107:B109)+1,"")</f>
        <v/>
      </c>
      <c r="C110" s="808"/>
      <c r="D110" s="809"/>
      <c r="E110" s="809"/>
      <c r="F110" s="809"/>
      <c r="G110" s="809"/>
      <c r="H110" s="810"/>
      <c r="I110" s="808"/>
      <c r="J110" s="809"/>
      <c r="K110" s="809"/>
      <c r="L110" s="809"/>
      <c r="M110" s="809"/>
      <c r="N110" s="809"/>
      <c r="O110" s="811"/>
      <c r="P110" s="812"/>
      <c r="Q110" s="821"/>
      <c r="R110" s="807">
        <f t="shared" si="2"/>
        <v>0</v>
      </c>
      <c r="S110" s="1174"/>
    </row>
    <row r="111" spans="2:19">
      <c r="B111" s="210" t="str">
        <f>IF(COUNTA(C111)=1,MAX(B$107:B110)+1,"")</f>
        <v/>
      </c>
      <c r="C111" s="808"/>
      <c r="D111" s="809"/>
      <c r="E111" s="809"/>
      <c r="F111" s="809"/>
      <c r="G111" s="809"/>
      <c r="H111" s="810"/>
      <c r="I111" s="808"/>
      <c r="J111" s="809"/>
      <c r="K111" s="809"/>
      <c r="L111" s="809"/>
      <c r="M111" s="809"/>
      <c r="N111" s="809"/>
      <c r="O111" s="811"/>
      <c r="P111" s="812"/>
      <c r="Q111" s="821"/>
      <c r="R111" s="807">
        <f t="shared" si="2"/>
        <v>0</v>
      </c>
      <c r="S111" s="1174"/>
    </row>
    <row r="112" spans="2:19">
      <c r="B112" s="210" t="str">
        <f>IF(COUNTA(C112)=1,MAX(B$107:B111)+1,"")</f>
        <v/>
      </c>
      <c r="C112" s="808"/>
      <c r="D112" s="809"/>
      <c r="E112" s="809"/>
      <c r="F112" s="809"/>
      <c r="G112" s="809"/>
      <c r="H112" s="810"/>
      <c r="I112" s="808"/>
      <c r="J112" s="809"/>
      <c r="K112" s="809"/>
      <c r="L112" s="809"/>
      <c r="M112" s="809"/>
      <c r="N112" s="809"/>
      <c r="O112" s="811"/>
      <c r="P112" s="812"/>
      <c r="Q112" s="821"/>
      <c r="R112" s="807">
        <f t="shared" si="2"/>
        <v>0</v>
      </c>
      <c r="S112" s="1174"/>
    </row>
    <row r="113" spans="2:19">
      <c r="B113" s="210" t="str">
        <f>IF(COUNTA(C113)=1,MAX(B$107:B112)+1,"")</f>
        <v/>
      </c>
      <c r="C113" s="808"/>
      <c r="D113" s="809"/>
      <c r="E113" s="809"/>
      <c r="F113" s="809"/>
      <c r="G113" s="809"/>
      <c r="H113" s="810"/>
      <c r="I113" s="808"/>
      <c r="J113" s="809"/>
      <c r="K113" s="809"/>
      <c r="L113" s="809"/>
      <c r="M113" s="809"/>
      <c r="N113" s="809"/>
      <c r="O113" s="811"/>
      <c r="P113" s="812"/>
      <c r="Q113" s="821"/>
      <c r="R113" s="807">
        <f t="shared" si="2"/>
        <v>0</v>
      </c>
      <c r="S113" s="1174"/>
    </row>
    <row r="114" spans="2:19">
      <c r="B114" s="210" t="str">
        <f>IF(COUNTA(C114)=1,MAX(B$107:B113)+1,"")</f>
        <v/>
      </c>
      <c r="C114" s="808"/>
      <c r="D114" s="809"/>
      <c r="E114" s="809"/>
      <c r="F114" s="809"/>
      <c r="G114" s="809"/>
      <c r="H114" s="810"/>
      <c r="I114" s="808"/>
      <c r="J114" s="809"/>
      <c r="K114" s="809"/>
      <c r="L114" s="809"/>
      <c r="M114" s="809"/>
      <c r="N114" s="809"/>
      <c r="O114" s="811"/>
      <c r="P114" s="812"/>
      <c r="Q114" s="821"/>
      <c r="R114" s="807">
        <f t="shared" si="2"/>
        <v>0</v>
      </c>
      <c r="S114" s="1174"/>
    </row>
    <row r="115" spans="2:19">
      <c r="B115" s="210" t="str">
        <f>IF(COUNTA(C115)=1,MAX(B$107:B114)+1,"")</f>
        <v/>
      </c>
      <c r="C115" s="808"/>
      <c r="D115" s="809"/>
      <c r="E115" s="809"/>
      <c r="F115" s="809"/>
      <c r="G115" s="809"/>
      <c r="H115" s="810"/>
      <c r="I115" s="808"/>
      <c r="J115" s="809"/>
      <c r="K115" s="809"/>
      <c r="L115" s="809"/>
      <c r="M115" s="809"/>
      <c r="N115" s="809"/>
      <c r="O115" s="811"/>
      <c r="P115" s="812"/>
      <c r="Q115" s="821"/>
      <c r="R115" s="807">
        <f t="shared" si="2"/>
        <v>0</v>
      </c>
      <c r="S115" s="1174"/>
    </row>
    <row r="116" spans="2:19">
      <c r="B116" s="210" t="str">
        <f>IF(COUNTA(C116)=1,MAX(B$107:B115)+1,"")</f>
        <v/>
      </c>
      <c r="C116" s="808"/>
      <c r="D116" s="809"/>
      <c r="E116" s="809"/>
      <c r="F116" s="809"/>
      <c r="G116" s="809"/>
      <c r="H116" s="810"/>
      <c r="I116" s="808"/>
      <c r="J116" s="809"/>
      <c r="K116" s="809"/>
      <c r="L116" s="809"/>
      <c r="M116" s="809"/>
      <c r="N116" s="809"/>
      <c r="O116" s="811">
        <v>0</v>
      </c>
      <c r="P116" s="812">
        <v>0</v>
      </c>
      <c r="Q116" s="821"/>
      <c r="R116" s="807">
        <f t="shared" si="2"/>
        <v>0</v>
      </c>
      <c r="S116" s="1174"/>
    </row>
    <row r="117" spans="2:19">
      <c r="B117" s="210" t="str">
        <f>IF(COUNTA(C117)=1,MAX(B$107:B116)+1,"")</f>
        <v/>
      </c>
      <c r="C117" s="808"/>
      <c r="D117" s="809"/>
      <c r="E117" s="809"/>
      <c r="F117" s="809"/>
      <c r="G117" s="809"/>
      <c r="H117" s="810"/>
      <c r="I117" s="808"/>
      <c r="J117" s="809"/>
      <c r="K117" s="809"/>
      <c r="L117" s="809"/>
      <c r="M117" s="809"/>
      <c r="N117" s="809"/>
      <c r="O117" s="811">
        <v>0</v>
      </c>
      <c r="P117" s="812">
        <v>0</v>
      </c>
      <c r="Q117" s="821"/>
      <c r="R117" s="807">
        <f t="shared" si="2"/>
        <v>0</v>
      </c>
      <c r="S117" s="1174"/>
    </row>
    <row r="118" spans="2:19">
      <c r="B118" s="210" t="str">
        <f>IF(COUNTA(C118)=1,MAX(B$107:B117)+1,"")</f>
        <v/>
      </c>
      <c r="C118" s="808"/>
      <c r="D118" s="809"/>
      <c r="E118" s="809"/>
      <c r="F118" s="809"/>
      <c r="G118" s="809"/>
      <c r="H118" s="810"/>
      <c r="I118" s="808"/>
      <c r="J118" s="809"/>
      <c r="K118" s="809"/>
      <c r="L118" s="809"/>
      <c r="M118" s="809"/>
      <c r="N118" s="809"/>
      <c r="O118" s="811">
        <v>0</v>
      </c>
      <c r="P118" s="812">
        <v>0</v>
      </c>
      <c r="Q118" s="821"/>
      <c r="R118" s="807">
        <f t="shared" si="2"/>
        <v>0</v>
      </c>
      <c r="S118" s="1174"/>
    </row>
    <row r="119" spans="2:19">
      <c r="B119" s="210" t="str">
        <f>IF(COUNTA(C119)=1,MAX(B$107:B118)+1,"")</f>
        <v/>
      </c>
      <c r="C119" s="808"/>
      <c r="D119" s="809"/>
      <c r="E119" s="809"/>
      <c r="F119" s="809"/>
      <c r="G119" s="809"/>
      <c r="H119" s="810"/>
      <c r="I119" s="808"/>
      <c r="J119" s="809"/>
      <c r="K119" s="809"/>
      <c r="L119" s="809"/>
      <c r="M119" s="809"/>
      <c r="N119" s="809"/>
      <c r="O119" s="811">
        <v>0</v>
      </c>
      <c r="P119" s="812">
        <v>0</v>
      </c>
      <c r="Q119" s="821"/>
      <c r="R119" s="807">
        <f t="shared" si="2"/>
        <v>0</v>
      </c>
      <c r="S119" s="1174"/>
    </row>
    <row r="120" spans="2:19">
      <c r="B120" s="210" t="str">
        <f>IF(COUNTA(C120)=1,MAX(B$107:B119)+1,"")</f>
        <v/>
      </c>
      <c r="C120" s="808"/>
      <c r="D120" s="809"/>
      <c r="E120" s="809"/>
      <c r="F120" s="809"/>
      <c r="G120" s="809"/>
      <c r="H120" s="810"/>
      <c r="I120" s="808"/>
      <c r="J120" s="809"/>
      <c r="K120" s="809"/>
      <c r="L120" s="809"/>
      <c r="M120" s="809"/>
      <c r="N120" s="809"/>
      <c r="O120" s="811">
        <v>0</v>
      </c>
      <c r="P120" s="812">
        <v>0</v>
      </c>
      <c r="Q120" s="821"/>
      <c r="R120" s="807">
        <f t="shared" si="2"/>
        <v>0</v>
      </c>
      <c r="S120" s="1174"/>
    </row>
    <row r="121" spans="2:19">
      <c r="B121" s="210" t="str">
        <f>IF(COUNTA(C121)=1,MAX(B$107:B120)+1,"")</f>
        <v/>
      </c>
      <c r="C121" s="808"/>
      <c r="D121" s="809"/>
      <c r="E121" s="809"/>
      <c r="F121" s="809"/>
      <c r="G121" s="809"/>
      <c r="H121" s="810"/>
      <c r="I121" s="808"/>
      <c r="J121" s="809"/>
      <c r="K121" s="809"/>
      <c r="L121" s="809"/>
      <c r="M121" s="809"/>
      <c r="N121" s="809"/>
      <c r="O121" s="811">
        <v>0</v>
      </c>
      <c r="P121" s="812">
        <v>0</v>
      </c>
      <c r="Q121" s="821"/>
      <c r="R121" s="807">
        <f t="shared" si="2"/>
        <v>0</v>
      </c>
      <c r="S121" s="1174"/>
    </row>
    <row r="122" spans="2:19">
      <c r="B122" s="210" t="str">
        <f>IF(COUNTA(C122)=1,MAX(B$107:B121)+1,"")</f>
        <v/>
      </c>
      <c r="C122" s="808"/>
      <c r="D122" s="809"/>
      <c r="E122" s="809"/>
      <c r="F122" s="809"/>
      <c r="G122" s="809"/>
      <c r="H122" s="810"/>
      <c r="I122" s="808"/>
      <c r="J122" s="809"/>
      <c r="K122" s="809"/>
      <c r="L122" s="809"/>
      <c r="M122" s="809"/>
      <c r="N122" s="809"/>
      <c r="O122" s="811">
        <v>0</v>
      </c>
      <c r="P122" s="812">
        <v>0</v>
      </c>
      <c r="Q122" s="821"/>
      <c r="R122" s="807">
        <f t="shared" si="2"/>
        <v>0</v>
      </c>
      <c r="S122" s="1174"/>
    </row>
    <row r="123" spans="2:19">
      <c r="B123" s="210" t="str">
        <f>IF(COUNTA(C123)=1,MAX(B$107:B122)+1,"")</f>
        <v/>
      </c>
      <c r="C123" s="808"/>
      <c r="D123" s="809"/>
      <c r="E123" s="809"/>
      <c r="F123" s="809"/>
      <c r="G123" s="809"/>
      <c r="H123" s="810"/>
      <c r="I123" s="808"/>
      <c r="J123" s="809"/>
      <c r="K123" s="809"/>
      <c r="L123" s="809"/>
      <c r="M123" s="809"/>
      <c r="N123" s="809"/>
      <c r="O123" s="811">
        <v>0</v>
      </c>
      <c r="P123" s="812">
        <v>0</v>
      </c>
      <c r="Q123" s="821"/>
      <c r="R123" s="807">
        <f t="shared" si="2"/>
        <v>0</v>
      </c>
      <c r="S123" s="1174"/>
    </row>
    <row r="124" spans="2:19">
      <c r="B124" s="210" t="str">
        <f>IF(COUNTA(C124)=1,MAX(B$107:B123)+1,"")</f>
        <v/>
      </c>
      <c r="C124" s="808"/>
      <c r="D124" s="809"/>
      <c r="E124" s="809"/>
      <c r="F124" s="809"/>
      <c r="G124" s="809"/>
      <c r="H124" s="810"/>
      <c r="I124" s="808"/>
      <c r="J124" s="809"/>
      <c r="K124" s="809"/>
      <c r="L124" s="809"/>
      <c r="M124" s="809"/>
      <c r="N124" s="809"/>
      <c r="O124" s="811">
        <v>0</v>
      </c>
      <c r="P124" s="812">
        <v>0</v>
      </c>
      <c r="Q124" s="821"/>
      <c r="R124" s="807">
        <f t="shared" si="2"/>
        <v>0</v>
      </c>
      <c r="S124" s="1174"/>
    </row>
    <row r="125" spans="2:19">
      <c r="B125" s="210" t="str">
        <f>IF(COUNTA(C125)=1,MAX(B$107:B124)+1,"")</f>
        <v/>
      </c>
      <c r="C125" s="808"/>
      <c r="D125" s="809"/>
      <c r="E125" s="809"/>
      <c r="F125" s="809"/>
      <c r="G125" s="809"/>
      <c r="H125" s="810"/>
      <c r="I125" s="808"/>
      <c r="J125" s="809"/>
      <c r="K125" s="809"/>
      <c r="L125" s="809"/>
      <c r="M125" s="809"/>
      <c r="N125" s="809"/>
      <c r="O125" s="811">
        <v>0</v>
      </c>
      <c r="P125" s="812">
        <v>0</v>
      </c>
      <c r="Q125" s="821"/>
      <c r="R125" s="807">
        <f t="shared" si="2"/>
        <v>0</v>
      </c>
      <c r="S125" s="1174"/>
    </row>
    <row r="126" spans="2:19">
      <c r="B126" s="210" t="str">
        <f>IF(COUNTA(C126)=1,MAX(B$107:B125)+1,"")</f>
        <v/>
      </c>
      <c r="C126" s="808"/>
      <c r="D126" s="809"/>
      <c r="E126" s="809"/>
      <c r="F126" s="809"/>
      <c r="G126" s="809"/>
      <c r="H126" s="810"/>
      <c r="I126" s="808"/>
      <c r="J126" s="809"/>
      <c r="K126" s="809"/>
      <c r="L126" s="809"/>
      <c r="M126" s="809"/>
      <c r="N126" s="809"/>
      <c r="O126" s="811">
        <v>0</v>
      </c>
      <c r="P126" s="812">
        <v>0</v>
      </c>
      <c r="Q126" s="821"/>
      <c r="R126" s="807">
        <f t="shared" si="2"/>
        <v>0</v>
      </c>
      <c r="S126" s="1174"/>
    </row>
  </sheetData>
  <sheetProtection algorithmName="SHA-512" hashValue="r/Y+da2I9lXuEghm18SseN4LyYCy33zCeXf/uMjMKKsL5cwbsUOtzoTJkFRkOzFOATU4hhDkzWl7Njw/Eq1qhg==" saltValue="5s/GOBSHSt5D7T+5eO4hzw==" spinCount="100000" sheet="1" selectLockedCells="1"/>
  <mergeCells count="8">
    <mergeCell ref="O1:O2"/>
    <mergeCell ref="P1:P2"/>
    <mergeCell ref="Q1:Q2"/>
    <mergeCell ref="D27:E27"/>
    <mergeCell ref="D28:E28"/>
    <mergeCell ref="L1:L2"/>
    <mergeCell ref="M1:M2"/>
    <mergeCell ref="N1:N2"/>
  </mergeCells>
  <conditionalFormatting sqref="E21">
    <cfRule type="cellIs" dxfId="12" priority="7" stopIfTrue="1" operator="equal">
      <formula>1</formula>
    </cfRule>
  </conditionalFormatting>
  <conditionalFormatting sqref="E86">
    <cfRule type="cellIs" dxfId="11" priority="13" stopIfTrue="1" operator="equal">
      <formula>1</formula>
    </cfRule>
  </conditionalFormatting>
  <conditionalFormatting sqref="N6">
    <cfRule type="cellIs" dxfId="10" priority="6" operator="equal">
      <formula>1</formula>
    </cfRule>
  </conditionalFormatting>
  <conditionalFormatting sqref="N18">
    <cfRule type="cellIs" dxfId="9" priority="5" operator="equal">
      <formula>1</formula>
    </cfRule>
  </conditionalFormatting>
  <conditionalFormatting sqref="O10">
    <cfRule type="cellIs" dxfId="8" priority="1" operator="equal">
      <formula>1</formula>
    </cfRule>
  </conditionalFormatting>
  <conditionalFormatting sqref="O18 N19:O20 N22:N23">
    <cfRule type="cellIs" dxfId="7" priority="21" stopIfTrue="1" operator="equal">
      <formula>0</formula>
    </cfRule>
  </conditionalFormatting>
  <conditionalFormatting sqref="R107:R126">
    <cfRule type="cellIs" dxfId="6" priority="3" operator="notEqual">
      <formula>1</formula>
    </cfRule>
    <cfRule type="cellIs" dxfId="5" priority="4" operator="equal">
      <formula>1</formula>
    </cfRule>
  </conditionalFormatting>
  <conditionalFormatting sqref="S65">
    <cfRule type="cellIs" dxfId="4" priority="19" operator="equal">
      <formula>1</formula>
    </cfRule>
    <cfRule type="cellIs" dxfId="3" priority="20" operator="notEqual">
      <formula>1</formula>
    </cfRule>
  </conditionalFormatting>
  <dataValidations count="5">
    <dataValidation type="decimal" errorStyle="information" operator="lessThanOrEqual" allowBlank="1" showInputMessage="1" showErrorMessage="1" error="Bitte nur Werte bis max. 15% verwenden." prompt="Bitte nur Werte bis max. 15% verwenden." sqref="E84" xr:uid="{6E26AAC8-A045-44F3-B2E9-DBC4381DD9D4}">
      <formula1>0.15</formula1>
    </dataValidation>
    <dataValidation type="list" allowBlank="1" showInputMessage="1" showErrorMessage="1" sqref="Q25:Q29" xr:uid="{280D71E4-4BD8-49EC-BD0A-24B932BCE0B8}">
      <formula1>"Büro, Labor, Allg. Lehren und Lernen, Fachspez. Lehre, Lager, Weitere STB"</formula1>
    </dataValidation>
    <dataValidation type="list" allowBlank="1" sqref="E86 E21" xr:uid="{429EAC5D-CF2B-4A8B-94FF-3E59A498349F}">
      <formula1>"ja, nein"</formula1>
    </dataValidation>
    <dataValidation allowBlank="1" showInputMessage="1" showErrorMessage="1" prompt="Für die weitere Berechnung werden nur Werte bis max. 100% übernommen." sqref="S89" xr:uid="{BD8D2A78-778E-4849-8DB0-732B9C3F4C95}"/>
    <dataValidation type="list" allowBlank="1" showInputMessage="1" showErrorMessage="1" sqref="O107:P126" xr:uid="{D07DEF07-4DEA-4519-B85B-CD9F5620EC8A}">
      <formula1>"0%,50%,100%"</formula1>
    </dataValidation>
  </dataValidations>
  <pageMargins left="0.59055118110236227" right="0.59055118110236227" top="0.78740157480314965" bottom="0.59055118110236227" header="0.51181102362204722" footer="0.27559055118110237"/>
  <pageSetup paperSize="9" scale="79" orientation="portrait" r:id="rId1"/>
  <headerFooter alignWithMargins="0">
    <oddFooter>&amp;C&amp;8Seite &amp;P von &amp;N</oddFooter>
  </headerFooter>
  <rowBreaks count="1" manualBreakCount="1">
    <brk id="51" max="1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8CF23-3F60-4881-8B03-9782DE19E2CF}">
  <sheetPr codeName="Tabelle18">
    <tabColor theme="5" tint="-0.249977111117893"/>
  </sheetPr>
  <dimension ref="A1:AE62"/>
  <sheetViews>
    <sheetView showGridLines="0" showZeros="0" showRuler="0" zoomScale="115" zoomScaleNormal="115" zoomScaleSheetLayoutView="115" workbookViewId="0">
      <selection activeCell="B9" sqref="B9"/>
    </sheetView>
  </sheetViews>
  <sheetFormatPr baseColWidth="10" defaultColWidth="11.453125" defaultRowHeight="10"/>
  <cols>
    <col min="1" max="1" width="0.54296875" style="132" customWidth="1"/>
    <col min="2" max="2" width="9.54296875" style="132" customWidth="1"/>
    <col min="3" max="3" width="6.54296875" style="132" customWidth="1"/>
    <col min="4" max="4" width="5.54296875" style="132" customWidth="1"/>
    <col min="5" max="5" width="9.453125" style="132" customWidth="1"/>
    <col min="6" max="6" width="1.81640625" style="132" customWidth="1"/>
    <col min="7" max="7" width="1.453125" style="132" customWidth="1"/>
    <col min="8" max="11" width="7.453125" style="132" customWidth="1"/>
    <col min="12" max="14" width="7.453125" style="164" customWidth="1"/>
    <col min="15" max="15" width="7.453125" style="132" customWidth="1"/>
    <col min="16" max="16" width="8.54296875" style="164" customWidth="1"/>
    <col min="17" max="17" width="7.1796875" style="132" customWidth="1"/>
    <col min="18" max="18" width="11.453125" style="425" customWidth="1"/>
    <col min="19" max="22" width="7.1796875" style="541" customWidth="1"/>
    <col min="23" max="23" width="11.453125" style="132" customWidth="1"/>
    <col min="24" max="16384" width="11.453125" style="132"/>
  </cols>
  <sheetData>
    <row r="1" spans="1:31" ht="13" customHeight="1">
      <c r="A1" s="129"/>
      <c r="B1" s="130"/>
      <c r="C1" s="130"/>
      <c r="D1" s="130"/>
      <c r="E1" s="130"/>
      <c r="F1" s="131"/>
      <c r="H1" s="214"/>
      <c r="I1" s="216"/>
      <c r="J1" s="108"/>
      <c r="K1" s="9"/>
      <c r="L1" s="1364" t="s">
        <v>57</v>
      </c>
      <c r="M1" s="1364" t="s">
        <v>108</v>
      </c>
      <c r="N1" s="1364" t="s">
        <v>126</v>
      </c>
      <c r="O1" s="1364" t="s">
        <v>58</v>
      </c>
      <c r="P1" s="1371" t="s">
        <v>11</v>
      </c>
      <c r="Q1" s="1373" t="s">
        <v>113</v>
      </c>
      <c r="W1" s="425"/>
    </row>
    <row r="2" spans="1:31" ht="39" customHeight="1">
      <c r="A2" s="134"/>
      <c r="B2" s="135" t="s">
        <v>24</v>
      </c>
      <c r="C2" s="136"/>
      <c r="D2" s="136"/>
      <c r="E2" s="136"/>
      <c r="F2" s="137"/>
      <c r="H2" s="210" t="s">
        <v>111</v>
      </c>
      <c r="I2" s="3"/>
      <c r="J2" s="49"/>
      <c r="K2" s="14"/>
      <c r="L2" s="1365"/>
      <c r="M2" s="1365"/>
      <c r="N2" s="1365"/>
      <c r="O2" s="1365"/>
      <c r="P2" s="1372"/>
      <c r="Q2" s="1374"/>
      <c r="T2" s="12" t="s">
        <v>863</v>
      </c>
      <c r="U2" s="202"/>
      <c r="V2" s="202"/>
      <c r="W2" s="425"/>
      <c r="X2" s="248"/>
      <c r="Y2" s="248"/>
      <c r="Z2" s="248"/>
      <c r="AA2" s="248"/>
      <c r="AB2" s="248"/>
      <c r="AC2" s="248"/>
      <c r="AD2" s="248"/>
      <c r="AE2" s="248"/>
    </row>
    <row r="3" spans="1:31" ht="3" customHeight="1">
      <c r="A3" s="140"/>
      <c r="B3" s="141"/>
      <c r="C3" s="141"/>
      <c r="D3" s="141"/>
      <c r="E3" s="141"/>
      <c r="F3" s="142"/>
      <c r="H3" s="215"/>
      <c r="I3" s="217"/>
      <c r="J3" s="218"/>
      <c r="K3" s="100"/>
      <c r="L3" s="4"/>
      <c r="M3" s="4"/>
      <c r="N3" s="4"/>
      <c r="O3" s="4"/>
      <c r="P3" s="143"/>
      <c r="Q3" s="144"/>
      <c r="T3" s="202"/>
      <c r="U3" s="202"/>
      <c r="V3" s="202"/>
      <c r="W3" s="425"/>
      <c r="X3" s="248"/>
      <c r="Y3" s="248"/>
      <c r="Z3" s="248"/>
      <c r="AA3" s="248"/>
      <c r="AB3" s="248"/>
      <c r="AC3" s="248"/>
      <c r="AD3" s="248"/>
      <c r="AE3" s="248"/>
    </row>
    <row r="4" spans="1:31">
      <c r="A4" s="135"/>
      <c r="B4" s="135"/>
      <c r="C4" s="135"/>
      <c r="D4" s="135"/>
      <c r="E4" s="135"/>
      <c r="F4" s="135"/>
      <c r="H4" s="133"/>
      <c r="I4" s="133"/>
      <c r="J4" s="133"/>
      <c r="K4" s="133"/>
      <c r="L4" s="172"/>
      <c r="M4" s="173"/>
      <c r="O4" s="173"/>
      <c r="P4" s="173"/>
      <c r="Q4" s="145"/>
      <c r="R4" s="423"/>
      <c r="T4" s="202"/>
      <c r="U4" s="202"/>
      <c r="V4" s="202"/>
      <c r="W4" s="425"/>
      <c r="X4" s="248"/>
      <c r="Y4" s="248"/>
      <c r="Z4" s="248"/>
      <c r="AA4" s="248"/>
      <c r="AB4" s="248"/>
      <c r="AC4" s="248"/>
      <c r="AD4" s="248"/>
      <c r="AE4" s="248"/>
    </row>
    <row r="5" spans="1:31" ht="11.25" customHeight="1">
      <c r="A5" s="129"/>
      <c r="B5" s="130"/>
      <c r="C5" s="130"/>
      <c r="D5" s="130"/>
      <c r="E5" s="130"/>
      <c r="F5" s="131"/>
      <c r="H5" s="146"/>
      <c r="I5" s="133"/>
      <c r="J5" s="133"/>
      <c r="K5" s="133"/>
      <c r="L5" s="172"/>
      <c r="M5" s="173"/>
      <c r="O5" s="173"/>
      <c r="P5" s="173"/>
      <c r="Q5" s="145"/>
      <c r="R5" s="423"/>
      <c r="T5" s="1225"/>
      <c r="U5" s="1226"/>
      <c r="V5" s="1227"/>
      <c r="W5" s="425"/>
      <c r="X5" s="248"/>
      <c r="Y5" s="248"/>
      <c r="Z5" s="248"/>
      <c r="AA5" s="248"/>
      <c r="AB5" s="248"/>
      <c r="AC5" s="248"/>
      <c r="AD5" s="248"/>
      <c r="AE5" s="248"/>
    </row>
    <row r="6" spans="1:31" s="154" customFormat="1" ht="11.15" customHeight="1">
      <c r="A6" s="147"/>
      <c r="B6" s="148"/>
      <c r="C6" s="149"/>
      <c r="D6" s="149"/>
      <c r="E6" s="149"/>
      <c r="F6" s="150"/>
      <c r="G6" s="151"/>
      <c r="H6" s="424" t="s">
        <v>116</v>
      </c>
      <c r="I6" s="433"/>
      <c r="J6" s="433"/>
      <c r="K6" s="434"/>
      <c r="L6" s="339">
        <f>IF(E17&gt;0,E17,0)</f>
        <v>0</v>
      </c>
      <c r="M6" s="30">
        <f>IF(E15&gt;0,'HAW-Kennwerte_ZE'!C18,0)</f>
        <v>0</v>
      </c>
      <c r="N6" s="205">
        <f>IF(M6&gt;0,IF(E18="ja",'HAW-Kennwerte_ZE'!D18,1),0)</f>
        <v>0</v>
      </c>
      <c r="O6" s="25"/>
      <c r="P6" s="152">
        <f>(M6*N6*L6)+(E30*1.3)</f>
        <v>0</v>
      </c>
      <c r="Q6" s="431">
        <f>IF(P6&gt;0,0.025,0)</f>
        <v>0</v>
      </c>
      <c r="R6" s="423"/>
      <c r="S6" s="568"/>
      <c r="T6" s="1200"/>
      <c r="U6" s="1201"/>
      <c r="V6" s="1202"/>
      <c r="W6" s="423"/>
      <c r="X6" s="182"/>
      <c r="Y6" s="182"/>
      <c r="Z6" s="182"/>
      <c r="AA6" s="182"/>
      <c r="AB6" s="182"/>
      <c r="AC6" s="182"/>
      <c r="AD6" s="182"/>
      <c r="AE6" s="182"/>
    </row>
    <row r="7" spans="1:31" s="154" customFormat="1" ht="11.5" customHeight="1">
      <c r="A7" s="147"/>
      <c r="B7" s="928" t="str">
        <f>HAW!B4</f>
        <v>Hochschule …</v>
      </c>
      <c r="C7" s="928"/>
      <c r="D7" s="928"/>
      <c r="E7" s="928"/>
      <c r="F7" s="150"/>
      <c r="G7" s="151"/>
      <c r="H7" s="424" t="s">
        <v>117</v>
      </c>
      <c r="I7" s="423"/>
      <c r="J7" s="423"/>
      <c r="K7" s="423"/>
      <c r="L7" s="339">
        <f>L6</f>
        <v>0</v>
      </c>
      <c r="M7" s="30"/>
      <c r="N7" s="25"/>
      <c r="O7" s="25"/>
      <c r="P7" s="156">
        <f>IF(L7&gt;250,1100,IF(L7&lt;120,L7*5,600+(L7-120)*3.846153846))</f>
        <v>0</v>
      </c>
      <c r="R7" s="423"/>
      <c r="S7" s="568"/>
      <c r="T7" s="1200"/>
      <c r="U7" s="1201"/>
      <c r="V7" s="1202"/>
      <c r="W7" s="423"/>
      <c r="X7" s="182"/>
      <c r="Y7" s="182"/>
      <c r="Z7" s="182"/>
      <c r="AA7" s="182"/>
      <c r="AB7" s="182"/>
      <c r="AC7" s="182"/>
      <c r="AD7" s="182"/>
      <c r="AE7" s="182"/>
    </row>
    <row r="8" spans="1:31" s="154" customFormat="1" ht="11.5" customHeight="1">
      <c r="A8" s="147"/>
      <c r="B8" s="473">
        <f>HAW!B5</f>
        <v>0</v>
      </c>
      <c r="C8" s="19"/>
      <c r="D8" s="19"/>
      <c r="E8" s="19"/>
      <c r="F8" s="150"/>
      <c r="G8" s="151"/>
      <c r="H8" s="423" t="s">
        <v>112</v>
      </c>
      <c r="I8" s="148"/>
      <c r="J8" s="148"/>
      <c r="K8" s="148"/>
      <c r="L8" s="175"/>
      <c r="M8" s="176"/>
      <c r="O8" s="177"/>
      <c r="P8" s="156">
        <f>P6*Q6</f>
        <v>0</v>
      </c>
      <c r="Q8" s="174"/>
      <c r="R8" s="423"/>
      <c r="S8" s="568"/>
      <c r="T8" s="1200"/>
      <c r="U8" s="1201"/>
      <c r="V8" s="1202"/>
      <c r="W8" s="423"/>
      <c r="X8" s="182"/>
      <c r="Y8" s="182"/>
      <c r="Z8" s="182"/>
      <c r="AA8" s="182"/>
      <c r="AB8" s="182"/>
      <c r="AC8" s="182"/>
      <c r="AD8" s="182"/>
      <c r="AE8" s="182"/>
    </row>
    <row r="9" spans="1:31" s="154" customFormat="1" ht="11.5" customHeight="1">
      <c r="A9" s="147"/>
      <c r="B9" s="930" t="s">
        <v>40</v>
      </c>
      <c r="C9" s="453"/>
      <c r="D9" s="453"/>
      <c r="E9" s="453"/>
      <c r="F9" s="150"/>
      <c r="G9" s="151"/>
      <c r="H9" s="423" t="s">
        <v>200</v>
      </c>
      <c r="I9" s="149"/>
      <c r="J9" s="149"/>
      <c r="K9" s="149"/>
      <c r="L9" s="178"/>
      <c r="M9" s="179"/>
      <c r="O9" s="181"/>
      <c r="P9" s="156">
        <f>IF(E36&gt;0,(80+(E36-1)*15)+IF(E35*0.002&gt;550,550,E35*0.002)+IF(E35&gt;0,30,0),0)</f>
        <v>0</v>
      </c>
      <c r="Q9" s="180"/>
      <c r="R9" s="423"/>
      <c r="S9" s="568"/>
      <c r="T9" s="1200"/>
      <c r="U9" s="1201"/>
      <c r="V9" s="1202"/>
      <c r="W9" s="151"/>
      <c r="X9" s="182"/>
      <c r="Y9" s="182"/>
      <c r="Z9" s="182"/>
      <c r="AA9" s="182"/>
      <c r="AB9" s="182"/>
      <c r="AC9" s="182"/>
      <c r="AD9" s="182"/>
      <c r="AE9" s="182"/>
    </row>
    <row r="10" spans="1:31" s="154" customFormat="1" ht="11.5" customHeight="1">
      <c r="A10" s="147"/>
      <c r="B10" s="454" t="s">
        <v>179</v>
      </c>
      <c r="C10" s="689"/>
      <c r="D10" s="689"/>
      <c r="E10" s="689"/>
      <c r="F10" s="150"/>
      <c r="G10" s="151"/>
      <c r="H10" s="423" t="s">
        <v>120</v>
      </c>
      <c r="I10" s="149"/>
      <c r="J10" s="149"/>
      <c r="K10" s="149"/>
      <c r="L10" s="161"/>
      <c r="M10" s="157"/>
      <c r="O10" s="181"/>
      <c r="P10" s="156">
        <f>(E35*0.006)+(IF(E35&gt;200000,(200000*0.0053+(E35-200000)*0.0018),E35*0.0053))+(IF(E35*0.002&gt;400,400,E35*0.002))</f>
        <v>0</v>
      </c>
      <c r="Q10" s="180"/>
      <c r="R10" s="423"/>
      <c r="S10" s="568"/>
      <c r="T10" s="1200"/>
      <c r="U10" s="1201"/>
      <c r="V10" s="1202"/>
      <c r="W10" s="151"/>
      <c r="X10" s="182"/>
      <c r="Y10" s="182"/>
      <c r="Z10" s="182"/>
      <c r="AA10" s="182"/>
      <c r="AB10" s="182"/>
      <c r="AC10" s="182"/>
      <c r="AD10" s="182"/>
      <c r="AE10" s="182"/>
    </row>
    <row r="11" spans="1:31" s="154" customFormat="1" ht="11.5" customHeight="1">
      <c r="A11" s="147"/>
      <c r="B11" s="693"/>
      <c r="C11" s="694"/>
      <c r="D11" s="694"/>
      <c r="E11" s="694"/>
      <c r="F11" s="150"/>
      <c r="G11" s="151"/>
      <c r="H11" s="423" t="s">
        <v>54</v>
      </c>
      <c r="I11" s="149"/>
      <c r="J11" s="149"/>
      <c r="K11" s="149"/>
      <c r="L11" s="184"/>
      <c r="M11" s="179"/>
      <c r="O11" s="181"/>
      <c r="P11" s="156">
        <f>(IF(E21&gt;15,400+(E21-15)*3,IF(E21&gt;10,320+(E21-10)*16,E21*32)))+(IF(E22&gt;15,200+(E22-15)*3,IF(E22&gt;10,160+(E22-10)*8,E22*16)))+(IF(E23&gt;15,687.5+(E23-15)*3,IF(E23&gt;10,550+(E23-10)*27.5,E23*55)))+(IF(E24&gt;15,337.5+(E24-15)*3,IF(E24&gt;10,270+(E24-10)*13.5,E24*27)))+(IF(E25&gt;15,312.5+(E25-15)*3,IF(E25&gt;10,250+(E25-10)*12.5,E25*25)))+(IF(E27&gt;1,25+(E27-1)*5,IF(E27=1,25,0)))+(IF(E28&gt;15,500+(E28-15)*3,IF(E28&gt;10,400+(E28-10)*20,E28*40)))</f>
        <v>0</v>
      </c>
      <c r="Q11" s="432">
        <f>IF(P11&gt;0,0.25,0)</f>
        <v>0</v>
      </c>
      <c r="R11" s="423"/>
      <c r="S11" s="568"/>
      <c r="T11" s="1200"/>
      <c r="U11" s="1201"/>
      <c r="V11" s="1202"/>
      <c r="W11" s="151"/>
      <c r="X11" s="182"/>
      <c r="Y11" s="182"/>
      <c r="Z11" s="182"/>
      <c r="AA11" s="182"/>
      <c r="AB11" s="182"/>
      <c r="AC11" s="182"/>
      <c r="AD11" s="182"/>
      <c r="AE11" s="182"/>
    </row>
    <row r="12" spans="1:31" s="154" customFormat="1" ht="11.5" customHeight="1">
      <c r="A12" s="147"/>
      <c r="C12" s="149"/>
      <c r="D12" s="149"/>
      <c r="E12" s="149"/>
      <c r="F12" s="150"/>
      <c r="G12" s="151"/>
      <c r="H12" s="424" t="s">
        <v>42</v>
      </c>
      <c r="I12" s="149"/>
      <c r="J12" s="149"/>
      <c r="K12" s="149"/>
      <c r="L12" s="184"/>
      <c r="M12" s="179"/>
      <c r="N12" s="138"/>
      <c r="O12" s="181"/>
      <c r="P12" s="159">
        <f>P11*Q11</f>
        <v>0</v>
      </c>
      <c r="Q12" s="149"/>
      <c r="R12" s="423"/>
      <c r="S12" s="568"/>
      <c r="T12" s="1200"/>
      <c r="U12" s="1201"/>
      <c r="V12" s="1202"/>
      <c r="W12" s="151"/>
      <c r="X12" s="182"/>
      <c r="Y12" s="182"/>
      <c r="Z12" s="182"/>
      <c r="AA12" s="182"/>
      <c r="AB12" s="182"/>
      <c r="AC12" s="182"/>
      <c r="AD12" s="182"/>
      <c r="AE12" s="182"/>
    </row>
    <row r="13" spans="1:31" s="154" customFormat="1" ht="10.5">
      <c r="A13" s="147"/>
      <c r="B13" s="155" t="s">
        <v>41</v>
      </c>
      <c r="C13" s="149"/>
      <c r="D13" s="149"/>
      <c r="E13" s="149"/>
      <c r="F13" s="150"/>
      <c r="G13" s="151"/>
      <c r="H13" s="148"/>
      <c r="I13" s="149"/>
      <c r="J13" s="149"/>
      <c r="K13" s="149"/>
      <c r="L13" s="184"/>
      <c r="M13" s="179"/>
      <c r="N13" s="138"/>
      <c r="O13" s="181"/>
      <c r="P13" s="162">
        <f>SUM(P6:P12)</f>
        <v>0</v>
      </c>
      <c r="Q13" s="149"/>
      <c r="R13" s="423"/>
      <c r="S13" s="568"/>
      <c r="T13" s="1236"/>
      <c r="U13" s="1237"/>
      <c r="V13" s="1238"/>
      <c r="W13" s="151"/>
      <c r="X13" s="182"/>
      <c r="Y13" s="182"/>
      <c r="Z13" s="182"/>
      <c r="AA13" s="182"/>
      <c r="AB13" s="182"/>
      <c r="AC13" s="182"/>
      <c r="AD13" s="182"/>
      <c r="AE13" s="182"/>
    </row>
    <row r="14" spans="1:31" s="154" customFormat="1" ht="11.5" customHeight="1">
      <c r="A14" s="147"/>
      <c r="B14" s="149"/>
      <c r="C14" s="149"/>
      <c r="D14" s="461" t="s">
        <v>0</v>
      </c>
      <c r="F14" s="150"/>
      <c r="G14" s="151"/>
      <c r="H14" s="149"/>
      <c r="I14" s="149"/>
      <c r="J14" s="149"/>
      <c r="K14" s="149"/>
      <c r="L14" s="157"/>
      <c r="M14" s="186"/>
      <c r="O14" s="460"/>
      <c r="Q14" s="151"/>
      <c r="R14" s="423"/>
      <c r="S14" s="568"/>
      <c r="T14" s="568"/>
      <c r="U14" s="541"/>
      <c r="V14" s="541"/>
      <c r="W14" s="151"/>
      <c r="X14" s="182"/>
      <c r="Y14" s="182"/>
      <c r="Z14" s="182"/>
      <c r="AA14" s="182"/>
      <c r="AB14" s="182"/>
      <c r="AC14" s="182"/>
      <c r="AD14" s="182"/>
      <c r="AE14" s="182"/>
    </row>
    <row r="15" spans="1:31" s="138" customFormat="1" ht="11.25" customHeight="1">
      <c r="A15" s="147"/>
      <c r="B15" s="149"/>
      <c r="C15" s="149"/>
      <c r="D15" s="428" t="s">
        <v>131</v>
      </c>
      <c r="E15" s="448"/>
      <c r="F15" s="150"/>
      <c r="G15" s="149"/>
      <c r="R15" s="424"/>
      <c r="S15" s="568"/>
      <c r="T15" s="572"/>
      <c r="U15" s="568"/>
      <c r="V15" s="541"/>
      <c r="W15" s="149"/>
      <c r="X15" s="183"/>
      <c r="Y15" s="183"/>
      <c r="Z15" s="183"/>
      <c r="AA15" s="183"/>
      <c r="AB15" s="183"/>
      <c r="AC15" s="183"/>
      <c r="AD15" s="183"/>
      <c r="AE15" s="183"/>
    </row>
    <row r="16" spans="1:31" s="138" customFormat="1">
      <c r="A16" s="147"/>
      <c r="C16" s="185"/>
      <c r="D16" s="428" t="s">
        <v>130</v>
      </c>
      <c r="E16" s="430">
        <f>COUNT(E21:E25,E28)+E27</f>
        <v>0</v>
      </c>
      <c r="F16" s="150"/>
      <c r="G16" s="149"/>
      <c r="I16" s="24" t="s">
        <v>15</v>
      </c>
      <c r="J16" s="42"/>
      <c r="K16" s="17"/>
      <c r="L16" s="41"/>
      <c r="M16" s="2"/>
      <c r="N16" s="42"/>
      <c r="O16" s="154"/>
      <c r="P16" s="154"/>
      <c r="Q16" s="1185" t="s">
        <v>789</v>
      </c>
      <c r="R16" s="424"/>
      <c r="S16" s="572"/>
      <c r="T16" s="572"/>
      <c r="U16" s="568"/>
      <c r="V16" s="541"/>
      <c r="W16" s="149"/>
      <c r="X16" s="183"/>
      <c r="Y16" s="183"/>
      <c r="Z16" s="183"/>
      <c r="AA16" s="183"/>
      <c r="AB16" s="183"/>
      <c r="AC16" s="183"/>
      <c r="AD16" s="183"/>
      <c r="AE16" s="183"/>
    </row>
    <row r="17" spans="1:31" s="154" customFormat="1" ht="10.5">
      <c r="A17" s="147"/>
      <c r="B17" s="185"/>
      <c r="C17" s="185"/>
      <c r="D17" s="426"/>
      <c r="E17" s="429">
        <f>SUM(E15:E16)</f>
        <v>0</v>
      </c>
      <c r="F17" s="150"/>
      <c r="G17" s="151"/>
      <c r="I17" s="1171" t="s">
        <v>293</v>
      </c>
      <c r="J17" s="439"/>
      <c r="K17" s="439"/>
      <c r="L17" s="440"/>
      <c r="M17" s="441"/>
      <c r="N17" s="442"/>
      <c r="O17" s="42"/>
      <c r="P17" s="457"/>
      <c r="Q17" s="722"/>
      <c r="R17" s="689"/>
      <c r="S17" s="572"/>
      <c r="T17" s="568"/>
      <c r="U17" s="541"/>
      <c r="V17" s="541"/>
      <c r="W17" s="151"/>
      <c r="X17" s="182"/>
      <c r="Y17" s="182"/>
      <c r="Z17" s="182"/>
      <c r="AA17" s="182"/>
      <c r="AB17" s="182"/>
      <c r="AC17" s="182"/>
      <c r="AD17" s="182"/>
      <c r="AE17" s="182"/>
    </row>
    <row r="18" spans="1:31" s="154" customFormat="1" ht="11.5" customHeight="1">
      <c r="A18" s="147"/>
      <c r="B18" s="185"/>
      <c r="C18" s="149"/>
      <c r="D18" s="223" t="s">
        <v>247</v>
      </c>
      <c r="E18" s="834" t="s">
        <v>248</v>
      </c>
      <c r="F18" s="150"/>
      <c r="G18" s="151"/>
      <c r="I18" s="1172"/>
      <c r="J18" s="443"/>
      <c r="K18" s="443"/>
      <c r="L18" s="444"/>
      <c r="M18" s="443"/>
      <c r="N18" s="445"/>
      <c r="O18" s="42"/>
      <c r="P18" s="458"/>
      <c r="Q18" s="722"/>
      <c r="R18" s="689"/>
      <c r="S18" s="568"/>
      <c r="T18" s="568"/>
      <c r="U18" s="568"/>
      <c r="V18" s="541"/>
      <c r="W18" s="151"/>
      <c r="X18" s="182"/>
      <c r="Y18" s="182"/>
      <c r="Z18" s="182"/>
      <c r="AA18" s="182"/>
      <c r="AB18" s="182"/>
      <c r="AC18" s="182"/>
      <c r="AD18" s="182"/>
      <c r="AE18" s="182"/>
    </row>
    <row r="19" spans="1:31" s="154" customFormat="1" ht="11.5" customHeight="1">
      <c r="A19" s="147"/>
      <c r="B19" s="185"/>
      <c r="C19" s="149"/>
      <c r="D19" s="160"/>
      <c r="E19" s="149"/>
      <c r="F19" s="150"/>
      <c r="G19" s="151"/>
      <c r="I19" s="1172"/>
      <c r="J19" s="443"/>
      <c r="K19" s="443"/>
      <c r="L19" s="444"/>
      <c r="M19" s="443"/>
      <c r="N19" s="445"/>
      <c r="O19" s="42"/>
      <c r="P19" s="458"/>
      <c r="Q19" s="722"/>
      <c r="R19" s="689"/>
      <c r="S19" s="568"/>
      <c r="T19" s="568"/>
      <c r="U19" s="568"/>
      <c r="V19" s="541"/>
      <c r="W19" s="151"/>
      <c r="X19" s="182"/>
      <c r="Y19" s="182"/>
      <c r="Z19" s="182"/>
      <c r="AA19" s="182"/>
      <c r="AB19" s="182"/>
      <c r="AC19" s="182"/>
      <c r="AD19" s="182"/>
      <c r="AE19" s="182"/>
    </row>
    <row r="20" spans="1:31" s="154" customFormat="1" ht="11.5" customHeight="1">
      <c r="A20" s="147"/>
      <c r="B20" s="149"/>
      <c r="C20" s="135"/>
      <c r="D20" s="461" t="s">
        <v>43</v>
      </c>
      <c r="E20" s="153"/>
      <c r="F20" s="150"/>
      <c r="G20" s="151"/>
      <c r="H20" s="138"/>
      <c r="I20" s="1172"/>
      <c r="J20" s="446"/>
      <c r="K20" s="446"/>
      <c r="L20" s="446"/>
      <c r="M20" s="446"/>
      <c r="N20" s="447"/>
      <c r="O20" s="35"/>
      <c r="P20" s="458"/>
      <c r="Q20" s="722"/>
      <c r="R20" s="689"/>
      <c r="S20" s="568"/>
      <c r="T20" s="568"/>
      <c r="U20" s="568"/>
      <c r="V20" s="541"/>
      <c r="W20" s="151"/>
      <c r="X20" s="182"/>
      <c r="Y20" s="182"/>
      <c r="Z20" s="182"/>
      <c r="AA20" s="182"/>
      <c r="AB20" s="182"/>
      <c r="AC20" s="182"/>
      <c r="AD20" s="182"/>
      <c r="AE20" s="182"/>
    </row>
    <row r="21" spans="1:31">
      <c r="A21" s="134"/>
      <c r="B21" s="135"/>
      <c r="C21" s="158"/>
      <c r="D21" s="158" t="s">
        <v>44</v>
      </c>
      <c r="E21" s="448"/>
      <c r="F21" s="165"/>
      <c r="H21" s="154"/>
      <c r="I21" s="1172"/>
      <c r="J21" s="446"/>
      <c r="K21" s="446"/>
      <c r="L21" s="446"/>
      <c r="M21" s="446"/>
      <c r="N21" s="447"/>
      <c r="O21" s="35"/>
      <c r="P21" s="458"/>
      <c r="Q21" s="723"/>
      <c r="R21" s="1162"/>
      <c r="X21" s="248"/>
      <c r="Y21" s="248"/>
      <c r="Z21" s="248"/>
      <c r="AA21" s="248"/>
      <c r="AB21" s="248"/>
      <c r="AC21" s="248"/>
      <c r="AD21" s="248"/>
      <c r="AE21" s="248"/>
    </row>
    <row r="22" spans="1:31" s="154" customFormat="1" ht="11.5" customHeight="1">
      <c r="A22" s="147"/>
      <c r="B22" s="151"/>
      <c r="C22" s="149"/>
      <c r="D22" s="169" t="s">
        <v>45</v>
      </c>
      <c r="E22" s="448"/>
      <c r="F22" s="150"/>
      <c r="G22" s="151"/>
      <c r="H22" s="132"/>
      <c r="I22" s="1172"/>
      <c r="J22" s="446"/>
      <c r="K22" s="446"/>
      <c r="L22" s="446"/>
      <c r="M22" s="446"/>
      <c r="N22" s="447"/>
      <c r="O22" s="35"/>
      <c r="P22" s="458"/>
      <c r="Q22" s="722"/>
      <c r="R22" s="689"/>
      <c r="S22" s="568"/>
      <c r="T22" s="568"/>
      <c r="U22" s="568"/>
      <c r="V22" s="541"/>
      <c r="W22" s="151"/>
      <c r="X22" s="182"/>
      <c r="Y22" s="182"/>
      <c r="Z22" s="182"/>
      <c r="AA22" s="182"/>
      <c r="AB22" s="182"/>
      <c r="AC22" s="182"/>
      <c r="AD22" s="182"/>
      <c r="AE22" s="182"/>
    </row>
    <row r="23" spans="1:31" s="154" customFormat="1" ht="11.5" customHeight="1">
      <c r="A23" s="147"/>
      <c r="B23" s="149"/>
      <c r="C23" s="149"/>
      <c r="D23" s="158" t="s">
        <v>46</v>
      </c>
      <c r="E23" s="448"/>
      <c r="F23" s="150"/>
      <c r="G23" s="151"/>
      <c r="H23" s="187"/>
      <c r="I23" s="1172"/>
      <c r="J23" s="446"/>
      <c r="K23" s="446"/>
      <c r="L23" s="446"/>
      <c r="M23" s="446"/>
      <c r="N23" s="447"/>
      <c r="O23" s="35"/>
      <c r="P23" s="458"/>
      <c r="Q23" s="722"/>
      <c r="R23" s="689"/>
      <c r="S23" s="568"/>
      <c r="T23" s="568"/>
      <c r="U23" s="568"/>
      <c r="V23" s="541"/>
      <c r="W23" s="151"/>
      <c r="X23" s="182"/>
      <c r="Y23" s="182"/>
      <c r="Z23" s="182"/>
      <c r="AA23" s="182"/>
      <c r="AB23" s="182"/>
      <c r="AC23" s="182"/>
      <c r="AD23" s="182"/>
      <c r="AE23" s="182"/>
    </row>
    <row r="24" spans="1:31" s="154" customFormat="1" ht="11.5" customHeight="1">
      <c r="A24" s="147"/>
      <c r="B24" s="149"/>
      <c r="C24" s="149"/>
      <c r="D24" s="158" t="s">
        <v>47</v>
      </c>
      <c r="E24" s="448"/>
      <c r="F24" s="150"/>
      <c r="G24" s="151"/>
      <c r="H24" s="151"/>
      <c r="I24" s="1172"/>
      <c r="J24" s="446"/>
      <c r="K24" s="446"/>
      <c r="L24" s="446"/>
      <c r="M24" s="446"/>
      <c r="N24" s="446"/>
      <c r="O24" s="19"/>
      <c r="P24" s="458"/>
      <c r="Q24" s="722"/>
      <c r="R24" s="689"/>
      <c r="S24" s="568"/>
      <c r="T24" s="568"/>
      <c r="U24" s="541"/>
      <c r="V24" s="541"/>
      <c r="W24" s="151"/>
      <c r="X24" s="182"/>
      <c r="Y24" s="182"/>
      <c r="Z24" s="182"/>
      <c r="AA24" s="182"/>
      <c r="AB24" s="182"/>
      <c r="AC24" s="182"/>
      <c r="AD24" s="182"/>
      <c r="AE24" s="182"/>
    </row>
    <row r="25" spans="1:31" s="154" customFormat="1" ht="11.5" customHeight="1">
      <c r="A25" s="147"/>
      <c r="B25" s="149"/>
      <c r="C25" s="149"/>
      <c r="D25" s="158" t="s">
        <v>48</v>
      </c>
      <c r="E25" s="448"/>
      <c r="F25" s="150"/>
      <c r="G25" s="151"/>
      <c r="H25" s="151"/>
      <c r="I25" s="1172"/>
      <c r="J25" s="446"/>
      <c r="K25" s="446"/>
      <c r="L25" s="446"/>
      <c r="M25" s="446"/>
      <c r="N25" s="446"/>
      <c r="O25" s="19"/>
      <c r="P25" s="459"/>
      <c r="Q25" s="722"/>
      <c r="R25" s="689"/>
      <c r="S25" s="568"/>
      <c r="T25" s="568"/>
      <c r="U25" s="568"/>
      <c r="V25" s="568"/>
      <c r="W25" s="151"/>
      <c r="X25" s="182"/>
      <c r="Y25" s="182"/>
      <c r="Z25" s="182"/>
      <c r="AA25" s="182"/>
      <c r="AB25" s="182"/>
      <c r="AC25" s="182"/>
      <c r="AD25" s="182"/>
      <c r="AE25" s="182"/>
    </row>
    <row r="26" spans="1:31" s="154" customFormat="1" ht="11.5" customHeight="1">
      <c r="A26" s="147"/>
      <c r="B26" s="149"/>
      <c r="C26" s="149"/>
      <c r="D26" s="158" t="s">
        <v>49</v>
      </c>
      <c r="E26" s="192"/>
      <c r="F26" s="150"/>
      <c r="G26" s="151"/>
      <c r="H26" s="151"/>
      <c r="I26" s="17"/>
      <c r="J26" s="19"/>
      <c r="K26" s="19"/>
      <c r="L26" s="19"/>
      <c r="M26" s="19"/>
      <c r="N26" s="19"/>
      <c r="O26" s="19"/>
      <c r="P26" s="38">
        <f>SUM(P17:P25)</f>
        <v>0</v>
      </c>
      <c r="Q26" s="182"/>
      <c r="R26" s="423"/>
      <c r="S26" s="568"/>
      <c r="T26" s="568"/>
      <c r="U26" s="568"/>
      <c r="V26" s="568"/>
      <c r="W26" s="151"/>
      <c r="X26" s="182"/>
      <c r="Y26" s="182"/>
      <c r="Z26" s="182"/>
      <c r="AA26" s="182"/>
      <c r="AB26" s="182"/>
      <c r="AC26" s="182"/>
      <c r="AD26" s="182"/>
      <c r="AE26" s="182"/>
    </row>
    <row r="27" spans="1:31" s="154" customFormat="1" ht="11.5" customHeight="1">
      <c r="A27" s="147"/>
      <c r="B27" s="149"/>
      <c r="C27" s="149"/>
      <c r="D27" s="158" t="s">
        <v>50</v>
      </c>
      <c r="E27" s="448"/>
      <c r="F27" s="150"/>
      <c r="G27" s="151"/>
      <c r="H27" s="151"/>
      <c r="Q27" s="182"/>
      <c r="R27" s="423"/>
      <c r="S27" s="568"/>
      <c r="T27" s="568"/>
      <c r="U27" s="568"/>
      <c r="V27" s="568"/>
      <c r="W27" s="151"/>
      <c r="X27" s="182"/>
      <c r="Y27" s="182"/>
      <c r="Z27" s="182"/>
      <c r="AA27" s="182"/>
      <c r="AB27" s="182"/>
      <c r="AC27" s="182"/>
      <c r="AD27" s="182"/>
      <c r="AE27" s="182"/>
    </row>
    <row r="28" spans="1:31" s="154" customFormat="1" ht="11.5" customHeight="1">
      <c r="A28" s="147"/>
      <c r="B28" s="149"/>
      <c r="C28" s="149"/>
      <c r="D28" s="158" t="s">
        <v>51</v>
      </c>
      <c r="E28" s="448"/>
      <c r="F28" s="150"/>
      <c r="G28" s="151"/>
      <c r="H28" s="190"/>
      <c r="Q28" s="182"/>
      <c r="R28" s="423"/>
      <c r="S28" s="568"/>
      <c r="T28" s="568"/>
      <c r="U28" s="568"/>
      <c r="V28" s="568"/>
      <c r="W28" s="151"/>
      <c r="X28" s="182"/>
      <c r="Y28" s="182"/>
      <c r="Z28" s="182"/>
      <c r="AA28" s="182"/>
      <c r="AB28" s="182"/>
      <c r="AC28" s="182"/>
      <c r="AD28" s="182"/>
      <c r="AE28" s="182"/>
    </row>
    <row r="29" spans="1:31" s="154" customFormat="1" ht="11.5" customHeight="1">
      <c r="A29" s="147"/>
      <c r="B29" s="149"/>
      <c r="C29" s="149"/>
      <c r="F29" s="150"/>
      <c r="G29" s="151"/>
      <c r="H29" s="190"/>
      <c r="I29" s="190"/>
      <c r="J29" s="190"/>
      <c r="K29" s="190"/>
      <c r="L29" s="190"/>
      <c r="M29" s="190"/>
      <c r="P29" s="182"/>
      <c r="Q29" s="182"/>
      <c r="R29" s="423"/>
      <c r="S29" s="568"/>
      <c r="T29" s="568"/>
      <c r="U29" s="568"/>
      <c r="V29" s="568"/>
      <c r="W29" s="151"/>
      <c r="X29" s="182"/>
      <c r="Y29" s="182"/>
      <c r="Z29" s="182"/>
      <c r="AA29" s="182"/>
      <c r="AB29" s="182"/>
      <c r="AC29" s="182"/>
      <c r="AD29" s="182"/>
      <c r="AE29" s="182"/>
    </row>
    <row r="30" spans="1:31" s="154" customFormat="1" ht="11.5" customHeight="1">
      <c r="A30" s="147"/>
      <c r="B30" s="149"/>
      <c r="C30" s="149"/>
      <c r="D30" s="428" t="s">
        <v>114</v>
      </c>
      <c r="E30" s="448"/>
      <c r="F30" s="150"/>
      <c r="G30" s="151"/>
      <c r="H30" s="190"/>
      <c r="I30" s="190"/>
      <c r="J30" s="190"/>
      <c r="K30" s="190"/>
      <c r="L30" s="190"/>
      <c r="M30" s="190"/>
      <c r="O30" s="193"/>
      <c r="P30" s="182"/>
      <c r="Q30" s="182"/>
      <c r="R30" s="423"/>
      <c r="S30" s="568"/>
      <c r="T30" s="568"/>
      <c r="U30" s="568"/>
      <c r="V30" s="568"/>
      <c r="W30" s="151"/>
      <c r="X30" s="182"/>
      <c r="Y30" s="182"/>
      <c r="Z30" s="182"/>
      <c r="AA30" s="182"/>
      <c r="AB30" s="182"/>
      <c r="AC30" s="182"/>
      <c r="AD30" s="182"/>
      <c r="AE30" s="182"/>
    </row>
    <row r="31" spans="1:31" s="154" customFormat="1" ht="10.5">
      <c r="A31" s="147"/>
      <c r="B31" s="149"/>
      <c r="C31" s="149"/>
      <c r="D31" s="428" t="s">
        <v>115</v>
      </c>
      <c r="E31" s="427">
        <f>SUM(E21:E30)</f>
        <v>0</v>
      </c>
      <c r="F31" s="150"/>
      <c r="G31" s="151"/>
      <c r="H31" s="191"/>
      <c r="I31" s="191"/>
      <c r="J31" s="191"/>
      <c r="K31" s="191"/>
      <c r="L31" s="191"/>
      <c r="M31" s="191"/>
      <c r="O31" s="193"/>
      <c r="P31" s="182"/>
      <c r="Q31" s="182"/>
      <c r="R31" s="423"/>
      <c r="S31" s="568"/>
      <c r="T31" s="568"/>
      <c r="U31" s="568"/>
      <c r="V31" s="568"/>
      <c r="W31" s="151"/>
      <c r="X31" s="182"/>
      <c r="Y31" s="182"/>
      <c r="Z31" s="182"/>
      <c r="AA31" s="182"/>
      <c r="AB31" s="182"/>
      <c r="AC31" s="182"/>
      <c r="AD31" s="182"/>
      <c r="AE31" s="182"/>
    </row>
    <row r="32" spans="1:31" s="154" customFormat="1" ht="11.5" customHeight="1">
      <c r="A32" s="147"/>
      <c r="B32" s="149"/>
      <c r="C32" s="149"/>
      <c r="D32" s="428"/>
      <c r="E32" s="429">
        <f>SUM(E15,E31)</f>
        <v>0</v>
      </c>
      <c r="F32" s="150"/>
      <c r="G32" s="151"/>
      <c r="H32" s="191"/>
      <c r="I32" s="191"/>
      <c r="J32" s="191"/>
      <c r="K32" s="191"/>
      <c r="L32" s="191"/>
      <c r="M32" s="191"/>
      <c r="O32" s="42"/>
      <c r="P32" s="182"/>
      <c r="Q32" s="182"/>
      <c r="R32" s="423"/>
      <c r="S32" s="568"/>
      <c r="T32" s="568"/>
      <c r="U32" s="568"/>
      <c r="V32" s="568"/>
      <c r="W32" s="151"/>
      <c r="X32" s="182"/>
      <c r="Y32" s="182"/>
      <c r="Z32" s="182"/>
      <c r="AA32" s="182"/>
      <c r="AB32" s="182"/>
      <c r="AC32" s="182"/>
      <c r="AD32" s="182"/>
      <c r="AE32" s="182"/>
    </row>
    <row r="33" spans="1:31" s="154" customFormat="1" ht="11.5" customHeight="1">
      <c r="A33" s="147"/>
      <c r="B33" s="149"/>
      <c r="C33" s="149"/>
      <c r="F33" s="150"/>
      <c r="G33" s="151"/>
      <c r="H33" s="191"/>
      <c r="R33" s="423"/>
      <c r="S33" s="568"/>
      <c r="T33" s="568"/>
      <c r="U33" s="568"/>
      <c r="V33" s="568"/>
      <c r="W33" s="151"/>
      <c r="X33" s="182"/>
      <c r="Y33" s="182"/>
      <c r="Z33" s="182"/>
      <c r="AA33" s="182"/>
      <c r="AB33" s="182"/>
      <c r="AC33" s="182"/>
      <c r="AD33" s="182"/>
      <c r="AE33" s="182"/>
    </row>
    <row r="34" spans="1:31" s="154" customFormat="1" ht="11.5" customHeight="1">
      <c r="A34" s="147"/>
      <c r="B34" s="155" t="s">
        <v>52</v>
      </c>
      <c r="C34" s="135"/>
      <c r="D34" s="149"/>
      <c r="E34" s="149"/>
      <c r="F34" s="150"/>
      <c r="G34" s="151"/>
      <c r="H34" s="191"/>
      <c r="Q34" s="189"/>
      <c r="R34" s="423"/>
      <c r="S34" s="568"/>
      <c r="T34" s="568"/>
      <c r="U34" s="568"/>
      <c r="V34" s="568"/>
      <c r="W34" s="151"/>
      <c r="X34" s="182"/>
      <c r="Y34" s="182"/>
      <c r="Z34" s="182"/>
      <c r="AA34" s="182"/>
      <c r="AB34" s="182"/>
      <c r="AC34" s="182"/>
      <c r="AD34" s="182"/>
      <c r="AE34" s="182"/>
    </row>
    <row r="35" spans="1:31" s="154" customFormat="1" ht="11.5" customHeight="1">
      <c r="A35" s="147"/>
      <c r="B35" s="135"/>
      <c r="C35" s="135"/>
      <c r="D35" s="428" t="s">
        <v>302</v>
      </c>
      <c r="E35" s="449"/>
      <c r="F35" s="150"/>
      <c r="G35" s="151"/>
      <c r="H35" s="191"/>
      <c r="Q35" s="189"/>
      <c r="R35" s="423"/>
      <c r="S35" s="568"/>
      <c r="T35" s="568"/>
      <c r="U35" s="568"/>
      <c r="V35" s="568"/>
      <c r="W35" s="151"/>
      <c r="X35" s="182"/>
      <c r="Y35" s="182"/>
      <c r="Z35" s="182"/>
      <c r="AA35" s="182"/>
      <c r="AB35" s="182"/>
      <c r="AC35" s="182"/>
      <c r="AD35" s="182"/>
      <c r="AE35" s="182"/>
    </row>
    <row r="36" spans="1:31" ht="12" customHeight="1">
      <c r="A36" s="134"/>
      <c r="B36" s="135"/>
      <c r="C36" s="135"/>
      <c r="D36" s="158" t="s">
        <v>37</v>
      </c>
      <c r="E36" s="450"/>
      <c r="F36" s="165"/>
      <c r="H36" s="191"/>
      <c r="Q36" s="189"/>
      <c r="R36" s="423"/>
      <c r="S36" s="568"/>
      <c r="X36" s="248"/>
      <c r="Y36" s="248"/>
      <c r="Z36" s="248"/>
      <c r="AA36" s="248"/>
      <c r="AB36" s="248"/>
      <c r="AC36" s="248"/>
      <c r="AD36" s="248"/>
      <c r="AE36" s="248"/>
    </row>
    <row r="37" spans="1:31" ht="11.25" customHeight="1">
      <c r="A37" s="134"/>
      <c r="B37" s="149"/>
      <c r="C37" s="149"/>
      <c r="F37" s="165"/>
      <c r="H37" s="135"/>
      <c r="Q37" s="195"/>
      <c r="X37" s="248"/>
      <c r="Y37" s="248"/>
      <c r="Z37" s="248"/>
      <c r="AA37" s="248"/>
      <c r="AB37" s="248"/>
      <c r="AC37" s="248"/>
      <c r="AD37" s="248"/>
      <c r="AE37" s="248"/>
    </row>
    <row r="38" spans="1:31" s="154" customFormat="1" ht="11.5" customHeight="1">
      <c r="A38" s="147"/>
      <c r="B38" s="135"/>
      <c r="C38" s="158"/>
      <c r="D38" s="597" t="s">
        <v>29</v>
      </c>
      <c r="E38" s="724">
        <f>HAW!D24</f>
        <v>0</v>
      </c>
      <c r="F38" s="150"/>
      <c r="G38" s="151"/>
      <c r="H38" s="135"/>
      <c r="Q38" s="195"/>
      <c r="R38" s="425"/>
      <c r="S38" s="541"/>
      <c r="T38" s="568"/>
      <c r="U38" s="568"/>
      <c r="V38" s="568"/>
      <c r="W38" s="151"/>
      <c r="X38" s="182"/>
      <c r="Y38" s="182"/>
      <c r="Z38" s="182"/>
      <c r="AA38" s="182"/>
      <c r="AB38" s="182"/>
      <c r="AC38" s="182"/>
      <c r="AD38" s="182"/>
      <c r="AE38" s="182"/>
    </row>
    <row r="39" spans="1:31" s="154" customFormat="1" ht="11.5" customHeight="1">
      <c r="A39" s="147"/>
      <c r="B39" s="135"/>
      <c r="C39" s="158"/>
      <c r="D39" s="597" t="s">
        <v>30</v>
      </c>
      <c r="E39" s="770">
        <f>HAW!D25</f>
        <v>0</v>
      </c>
      <c r="F39" s="150"/>
      <c r="G39" s="151"/>
      <c r="H39" s="151"/>
      <c r="I39" s="149"/>
      <c r="J39" s="149"/>
      <c r="K39" s="149"/>
      <c r="L39" s="164"/>
      <c r="M39" s="164"/>
      <c r="N39" s="164"/>
      <c r="O39" s="132"/>
      <c r="P39" s="164"/>
      <c r="Q39" s="188"/>
      <c r="R39" s="425"/>
      <c r="S39" s="568"/>
      <c r="T39" s="568"/>
      <c r="U39" s="568"/>
      <c r="V39" s="568"/>
      <c r="W39" s="151"/>
      <c r="X39" s="182"/>
      <c r="Y39" s="182"/>
      <c r="Z39" s="182"/>
      <c r="AA39" s="182"/>
      <c r="AB39" s="182"/>
      <c r="AC39" s="182"/>
      <c r="AD39" s="182"/>
      <c r="AE39" s="182"/>
    </row>
    <row r="40" spans="1:31" ht="12" customHeight="1">
      <c r="A40" s="134"/>
      <c r="B40" s="135"/>
      <c r="C40" s="135"/>
      <c r="D40" s="135"/>
      <c r="E40" s="135"/>
      <c r="F40" s="165"/>
      <c r="H40" s="462"/>
      <c r="I40" s="462"/>
      <c r="J40" s="462"/>
      <c r="K40" s="462"/>
      <c r="L40" s="167"/>
      <c r="M40" s="167"/>
      <c r="N40" s="167"/>
      <c r="O40" s="166"/>
      <c r="P40" s="167"/>
      <c r="Q40" s="188"/>
      <c r="S40" s="568"/>
      <c r="X40" s="248"/>
      <c r="Y40" s="248"/>
      <c r="Z40" s="248"/>
      <c r="AA40" s="248"/>
      <c r="AB40" s="248"/>
      <c r="AC40" s="248"/>
      <c r="AD40" s="248"/>
      <c r="AE40" s="248"/>
    </row>
    <row r="41" spans="1:31" ht="12" customHeight="1">
      <c r="A41" s="130"/>
      <c r="B41" s="130"/>
      <c r="C41" s="130"/>
      <c r="D41" s="130"/>
      <c r="E41" s="130"/>
      <c r="F41" s="130"/>
      <c r="H41" s="463"/>
      <c r="I41" s="464"/>
      <c r="J41" s="465"/>
      <c r="K41" s="464"/>
      <c r="L41" s="466"/>
      <c r="M41" s="465"/>
      <c r="N41" s="467"/>
      <c r="O41" s="467"/>
      <c r="P41" s="468"/>
      <c r="Q41" s="194"/>
      <c r="X41" s="248"/>
      <c r="Y41" s="248"/>
      <c r="Z41" s="248"/>
      <c r="AA41" s="248"/>
      <c r="AB41" s="248"/>
      <c r="AC41" s="248"/>
      <c r="AD41" s="248"/>
      <c r="AE41" s="248"/>
    </row>
    <row r="42" spans="1:31" ht="50.15" customHeight="1" thickBot="1">
      <c r="A42" s="437"/>
      <c r="B42" s="437"/>
      <c r="C42" s="160"/>
      <c r="D42" s="438"/>
      <c r="E42" s="1"/>
      <c r="F42" s="219" t="s">
        <v>16</v>
      </c>
      <c r="G42" s="2"/>
      <c r="H42" s="220" t="s">
        <v>0</v>
      </c>
      <c r="I42" s="220" t="s">
        <v>1</v>
      </c>
      <c r="J42" s="221" t="s">
        <v>118</v>
      </c>
      <c r="K42" s="221" t="s">
        <v>159</v>
      </c>
      <c r="L42" s="221" t="s">
        <v>198</v>
      </c>
      <c r="M42" s="221" t="s">
        <v>22</v>
      </c>
      <c r="N42" s="220" t="s">
        <v>20</v>
      </c>
      <c r="O42" s="221" t="s">
        <v>199</v>
      </c>
      <c r="P42" s="42"/>
      <c r="Q42" s="197"/>
      <c r="X42" s="248"/>
      <c r="Y42" s="248"/>
      <c r="Z42" s="248"/>
      <c r="AA42" s="248"/>
      <c r="AB42" s="248"/>
      <c r="AC42" s="248"/>
      <c r="AD42" s="248"/>
      <c r="AE42" s="248"/>
    </row>
    <row r="43" spans="1:31" ht="17.149999999999999" customHeight="1" thickBot="1">
      <c r="A43" s="437"/>
      <c r="B43" s="148"/>
      <c r="C43" s="437"/>
      <c r="D43" s="437"/>
      <c r="E43" s="1"/>
      <c r="F43" s="1"/>
      <c r="G43" s="2"/>
      <c r="H43" s="640">
        <f>P6+P7+P9+SUMIF(Q17:Q25,H42,P17:P25)</f>
        <v>0</v>
      </c>
      <c r="I43" s="641"/>
      <c r="J43" s="641"/>
      <c r="K43" s="640">
        <f>P11+SUMIF(Q17:Q25,K42,P17:P25)</f>
        <v>0</v>
      </c>
      <c r="L43" s="641"/>
      <c r="M43" s="641"/>
      <c r="N43" s="640">
        <f>P8+P10+P12+SUMIF(Q17:Q25,N42,P17:P25)</f>
        <v>0</v>
      </c>
      <c r="O43" s="640">
        <f>+SUMIF(Q17:Q25,O42,P17:P25)</f>
        <v>0</v>
      </c>
      <c r="P43" s="331">
        <f>SUM(H43:O43)</f>
        <v>0</v>
      </c>
      <c r="Q43" s="197"/>
    </row>
    <row r="44" spans="1:31" ht="11.25" customHeight="1">
      <c r="A44" s="135"/>
      <c r="B44" s="135"/>
      <c r="C44" s="135"/>
      <c r="D44" s="135"/>
      <c r="E44" s="135"/>
      <c r="F44" s="135"/>
      <c r="I44" s="135"/>
      <c r="J44" s="135"/>
      <c r="K44" s="135"/>
      <c r="Q44" s="194"/>
      <c r="X44" s="248"/>
      <c r="Y44" s="248"/>
      <c r="Z44" s="248"/>
      <c r="AA44" s="248"/>
      <c r="AB44" s="248"/>
      <c r="AC44" s="248"/>
      <c r="AD44" s="248"/>
      <c r="AE44" s="248"/>
    </row>
    <row r="45" spans="1:31">
      <c r="A45" s="135"/>
      <c r="B45" s="106"/>
      <c r="C45" s="106"/>
      <c r="D45" s="106"/>
      <c r="E45" s="106"/>
      <c r="F45" s="106"/>
      <c r="G45" s="106"/>
      <c r="H45" s="106"/>
      <c r="I45" s="106"/>
      <c r="J45" s="106"/>
      <c r="K45" s="107"/>
      <c r="L45" s="106"/>
      <c r="M45" s="107"/>
      <c r="N45" s="106"/>
      <c r="O45" s="107"/>
      <c r="P45" s="107"/>
      <c r="Q45" s="166"/>
      <c r="X45" s="248"/>
      <c r="Y45" s="248"/>
      <c r="Z45" s="248"/>
      <c r="AA45" s="248"/>
      <c r="AB45" s="248"/>
      <c r="AC45" s="248"/>
      <c r="AD45" s="248"/>
      <c r="AE45" s="248"/>
    </row>
    <row r="46" spans="1:31" ht="11.25" customHeight="1">
      <c r="A46" s="135"/>
      <c r="B46" s="170"/>
      <c r="C46" s="170"/>
      <c r="D46" s="170"/>
      <c r="E46" s="170"/>
      <c r="F46" s="170"/>
      <c r="G46" s="170"/>
      <c r="H46" s="469"/>
      <c r="I46" s="470"/>
      <c r="J46" s="470"/>
      <c r="K46" s="470"/>
      <c r="L46" s="171"/>
      <c r="M46" s="171"/>
      <c r="N46" s="171"/>
      <c r="O46" s="170"/>
      <c r="P46" s="171"/>
      <c r="Q46" s="201" t="str">
        <f>HAW!B28</f>
        <v>Kennwertverfahren NRW für HAW; HIS-Institut für Hochschulentwicklung e.V. (24.04.2026)</v>
      </c>
      <c r="X46" s="248"/>
      <c r="Y46" s="248"/>
      <c r="Z46" s="248"/>
      <c r="AA46" s="248"/>
      <c r="AB46" s="248"/>
      <c r="AC46" s="248"/>
      <c r="AD46" s="248"/>
      <c r="AE46" s="248"/>
    </row>
    <row r="47" spans="1:31" ht="13">
      <c r="H47" s="196"/>
      <c r="I47" s="163"/>
      <c r="J47" s="163"/>
      <c r="K47" s="163"/>
      <c r="Q47" s="139"/>
      <c r="X47" s="248"/>
      <c r="Y47" s="248"/>
      <c r="Z47" s="248"/>
      <c r="AA47" s="248"/>
      <c r="AB47" s="248"/>
      <c r="AC47" s="248"/>
      <c r="AD47" s="248"/>
      <c r="AE47" s="248"/>
    </row>
    <row r="48" spans="1:31" ht="11.25" customHeight="1">
      <c r="I48" s="163"/>
      <c r="J48" s="163"/>
      <c r="K48" s="163"/>
      <c r="Q48" s="139"/>
      <c r="X48" s="248"/>
      <c r="Y48" s="248"/>
      <c r="Z48" s="248"/>
      <c r="AA48" s="248"/>
      <c r="AB48" s="248"/>
      <c r="AC48" s="248"/>
      <c r="AD48" s="248"/>
      <c r="AE48" s="248"/>
    </row>
    <row r="49" spans="1:31" ht="13">
      <c r="A49" s="437"/>
      <c r="B49" s="437"/>
      <c r="C49" s="437"/>
      <c r="D49" s="437"/>
      <c r="E49" s="437"/>
      <c r="F49" s="437"/>
      <c r="G49" s="437"/>
      <c r="H49" s="437"/>
      <c r="I49" s="163"/>
      <c r="J49" s="163"/>
      <c r="K49" s="163"/>
      <c r="Q49" s="139"/>
      <c r="X49" s="248"/>
      <c r="Y49" s="248"/>
      <c r="Z49" s="248"/>
      <c r="AA49" s="248"/>
      <c r="AB49" s="248"/>
      <c r="AC49" s="248"/>
      <c r="AD49" s="248"/>
      <c r="AE49" s="248"/>
    </row>
    <row r="50" spans="1:31">
      <c r="A50" s="437"/>
      <c r="B50" s="437"/>
      <c r="C50" s="437"/>
      <c r="D50" s="437"/>
      <c r="E50" s="437"/>
      <c r="F50" s="437"/>
      <c r="G50" s="437"/>
      <c r="H50" s="436"/>
      <c r="Q50" s="197"/>
    </row>
    <row r="51" spans="1:31" ht="10.4" customHeight="1">
      <c r="G51" s="135"/>
      <c r="Q51" s="197"/>
    </row>
    <row r="52" spans="1:31" ht="10.4" customHeight="1">
      <c r="G52" s="135"/>
      <c r="H52" s="135"/>
      <c r="I52" s="135"/>
      <c r="J52" s="135"/>
      <c r="K52" s="135"/>
      <c r="L52" s="168"/>
      <c r="M52" s="168"/>
      <c r="N52" s="168"/>
      <c r="O52" s="135"/>
      <c r="P52" s="168"/>
      <c r="Q52" s="197"/>
    </row>
    <row r="53" spans="1:31">
      <c r="G53" s="135"/>
      <c r="H53" s="135"/>
      <c r="I53" s="135"/>
      <c r="J53" s="135"/>
      <c r="K53" s="135"/>
      <c r="L53" s="168"/>
      <c r="M53" s="168"/>
      <c r="N53" s="168"/>
      <c r="O53" s="135"/>
      <c r="P53" s="168"/>
      <c r="Q53" s="197"/>
    </row>
    <row r="54" spans="1:31">
      <c r="A54" s="135"/>
      <c r="G54" s="135"/>
      <c r="H54" s="135"/>
      <c r="I54" s="135"/>
      <c r="J54" s="135"/>
      <c r="K54" s="135"/>
      <c r="L54" s="168"/>
      <c r="M54" s="168"/>
      <c r="N54" s="168"/>
      <c r="O54" s="135"/>
      <c r="P54" s="168"/>
      <c r="Q54" s="197"/>
    </row>
    <row r="55" spans="1:31">
      <c r="A55" s="135"/>
      <c r="G55" s="135"/>
      <c r="H55" s="135"/>
      <c r="I55" s="135"/>
      <c r="J55" s="135"/>
      <c r="K55" s="135"/>
      <c r="L55" s="168"/>
      <c r="M55" s="168"/>
      <c r="N55" s="168"/>
      <c r="O55" s="135"/>
      <c r="P55" s="168"/>
      <c r="Q55" s="197"/>
    </row>
    <row r="56" spans="1:31">
      <c r="A56" s="135"/>
      <c r="G56" s="135"/>
      <c r="H56" s="135"/>
      <c r="I56" s="135"/>
      <c r="J56" s="135"/>
      <c r="K56" s="135"/>
      <c r="L56" s="168"/>
      <c r="M56" s="168"/>
      <c r="N56" s="168"/>
      <c r="O56" s="135"/>
      <c r="P56" s="168"/>
      <c r="Q56" s="197"/>
    </row>
    <row r="57" spans="1:31" s="199" customFormat="1" ht="12" customHeight="1">
      <c r="A57" s="198"/>
      <c r="B57" s="132"/>
      <c r="C57" s="132"/>
      <c r="D57" s="132"/>
      <c r="E57" s="132"/>
      <c r="F57" s="132"/>
      <c r="G57" s="135"/>
      <c r="H57" s="135"/>
      <c r="I57" s="135"/>
      <c r="J57" s="135"/>
      <c r="K57" s="135"/>
      <c r="L57" s="168"/>
      <c r="M57" s="168"/>
      <c r="N57" s="168"/>
      <c r="O57" s="135"/>
      <c r="P57" s="168"/>
      <c r="Q57" s="197"/>
      <c r="R57" s="425"/>
      <c r="S57" s="541"/>
      <c r="T57" s="667"/>
      <c r="U57" s="667"/>
      <c r="V57" s="667"/>
    </row>
    <row r="58" spans="1:31">
      <c r="G58" s="135"/>
      <c r="H58" s="135"/>
      <c r="I58" s="135"/>
      <c r="J58" s="135"/>
      <c r="K58" s="135"/>
      <c r="L58" s="168"/>
      <c r="M58" s="168"/>
      <c r="N58" s="168"/>
      <c r="O58" s="135"/>
      <c r="P58" s="168"/>
      <c r="Q58" s="197"/>
      <c r="R58" s="199"/>
      <c r="S58" s="667"/>
    </row>
    <row r="59" spans="1:31" ht="13">
      <c r="A59" s="128"/>
      <c r="G59" s="135"/>
      <c r="H59" s="135"/>
      <c r="I59" s="135"/>
      <c r="J59" s="135"/>
      <c r="K59" s="135"/>
      <c r="L59" s="168"/>
      <c r="M59" s="168"/>
      <c r="N59" s="168"/>
      <c r="O59" s="135"/>
      <c r="P59" s="168"/>
      <c r="Q59" s="197"/>
    </row>
    <row r="60" spans="1:31">
      <c r="G60" s="135"/>
      <c r="H60" s="135"/>
      <c r="I60" s="135"/>
      <c r="J60" s="135"/>
      <c r="K60" s="135"/>
      <c r="L60" s="168"/>
      <c r="M60" s="168"/>
      <c r="N60" s="168"/>
      <c r="O60" s="135"/>
      <c r="P60" s="168"/>
      <c r="Q60" s="197"/>
    </row>
    <row r="61" spans="1:31">
      <c r="G61" s="135"/>
      <c r="H61" s="135"/>
      <c r="I61" s="135"/>
      <c r="J61" s="135"/>
      <c r="K61" s="135"/>
      <c r="L61" s="168"/>
      <c r="M61" s="168"/>
      <c r="N61" s="168"/>
      <c r="O61" s="135"/>
      <c r="P61" s="168"/>
      <c r="Q61" s="197"/>
    </row>
    <row r="62" spans="1:31">
      <c r="G62" s="135"/>
      <c r="H62" s="135"/>
      <c r="I62" s="135"/>
      <c r="J62" s="135"/>
      <c r="K62" s="135"/>
      <c r="L62" s="168"/>
      <c r="M62" s="168"/>
      <c r="N62" s="168"/>
      <c r="O62" s="135"/>
      <c r="P62" s="168"/>
      <c r="Q62" s="197"/>
    </row>
  </sheetData>
  <sheetProtection algorithmName="SHA-512" hashValue="osDTC/rhQC5bW/Bq/rEZ+h8oU8bvhgQRMO20ITQspVF9/qXBoWpDkcE26NpK5hdOEo/7ZkW1OaUuKggbC+huuw==" saltValue="7bNlBnndVoCgWoxh76bFzA==" spinCount="100000" sheet="1" selectLockedCells="1"/>
  <mergeCells count="6">
    <mergeCell ref="P1:P2"/>
    <mergeCell ref="Q1:Q2"/>
    <mergeCell ref="N1:N2"/>
    <mergeCell ref="L1:L2"/>
    <mergeCell ref="M1:M2"/>
    <mergeCell ref="O1:O2"/>
  </mergeCells>
  <conditionalFormatting sqref="E18">
    <cfRule type="cellIs" dxfId="2" priority="2" stopIfTrue="1" operator="equal">
      <formula>1</formula>
    </cfRule>
  </conditionalFormatting>
  <conditionalFormatting sqref="N6">
    <cfRule type="cellIs" dxfId="1" priority="1" operator="equal">
      <formula>1</formula>
    </cfRule>
  </conditionalFormatting>
  <dataValidations count="4">
    <dataValidation allowBlank="1" showInputMessage="1" showErrorMessage="1" prompt="Beschäftigte der Verwaltungseinheiten einschl. Stabsstellen, sofern sie typischerweise büromäßig arbeiten (Verwaltungspersonal, wiss. Mitarbeiter:innen, Auszubildende; ohne Präsidium/Rektorat)" sqref="E15" xr:uid="{10AC9CB0-1621-430E-BB7E-F6A7E2CB4099}"/>
    <dataValidation allowBlank="1" showInputMessage="1" showErrorMessage="1" prompt="Wenn Sie mind. 1 Standort eingeben, erscheint der Flächenbedarf für die Serviceflächen." sqref="E36" xr:uid="{D91F18AB-CB2A-4204-8BC6-0A56A69B34C9}"/>
    <dataValidation type="list" allowBlank="1" showInputMessage="1" showErrorMessage="1" sqref="Q17:Q25" xr:uid="{48DFF0B9-7236-47C0-A6DD-2AB6020C95ED}">
      <formula1>"Büro, Technischer Service, Lager, Weitere STB"</formula1>
    </dataValidation>
    <dataValidation type="list" allowBlank="1" sqref="E18" xr:uid="{06655DCD-2B85-41EB-B7D1-87FC6574606F}">
      <formula1>"ja, nein"</formula1>
    </dataValidation>
  </dataValidations>
  <pageMargins left="0.78740157499999996" right="0.78740157499999996" top="0.78" bottom="0.6" header="0.4921259845" footer="0.28000000000000003"/>
  <pageSetup paperSize="9" scale="71" orientation="portrait" r:id="rId1"/>
  <headerFooter alignWithMargins="0">
    <oddFooter>&amp;C&amp;8Seite &amp;P von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EA16D-1B94-41A1-B565-30EA3D47273A}">
  <sheetPr codeName="Tabelle19">
    <tabColor theme="5" tint="-0.249977111117893"/>
  </sheetPr>
  <dimension ref="A1:AF139"/>
  <sheetViews>
    <sheetView showGridLines="0" showZeros="0" showRuler="0" zoomScale="115" zoomScaleNormal="115" zoomScaleSheetLayoutView="115" workbookViewId="0">
      <selection activeCell="B9" sqref="B9"/>
    </sheetView>
  </sheetViews>
  <sheetFormatPr baseColWidth="10" defaultColWidth="11.453125" defaultRowHeight="10"/>
  <cols>
    <col min="1" max="1" width="0.54296875" style="541" customWidth="1"/>
    <col min="2" max="2" width="9.54296875" style="541" customWidth="1"/>
    <col min="3" max="3" width="6.54296875" style="541" customWidth="1"/>
    <col min="4" max="4" width="5.54296875" style="541" customWidth="1"/>
    <col min="5" max="5" width="8.1796875" style="541" customWidth="1"/>
    <col min="6" max="6" width="1.81640625" style="541" customWidth="1"/>
    <col min="7" max="7" width="1.453125" style="541" customWidth="1"/>
    <col min="8" max="11" width="7.453125" style="541" customWidth="1"/>
    <col min="12" max="12" width="8.54296875" style="566" customWidth="1"/>
    <col min="13" max="14" width="7.453125" style="566" customWidth="1"/>
    <col min="15" max="15" width="6.81640625" style="541" customWidth="1"/>
    <col min="16" max="16" width="8.54296875" style="566" customWidth="1"/>
    <col min="17" max="17" width="7.1796875" style="541" customWidth="1"/>
    <col min="18" max="18" width="11.453125" style="541" customWidth="1"/>
    <col min="19" max="23" width="7.1796875" style="541" customWidth="1"/>
    <col min="24" max="24" width="11.453125" style="541" customWidth="1"/>
    <col min="25" max="16384" width="11.453125" style="541"/>
  </cols>
  <sheetData>
    <row r="1" spans="1:32" ht="13" customHeight="1">
      <c r="A1" s="538"/>
      <c r="B1" s="539"/>
      <c r="C1" s="539"/>
      <c r="D1" s="539"/>
      <c r="E1" s="539"/>
      <c r="F1" s="540"/>
      <c r="H1" s="542"/>
      <c r="I1" s="543"/>
      <c r="J1" s="544"/>
      <c r="K1" s="545"/>
      <c r="L1" s="1364" t="s">
        <v>57</v>
      </c>
      <c r="M1" s="1364" t="s">
        <v>108</v>
      </c>
      <c r="N1" s="1364" t="s">
        <v>126</v>
      </c>
      <c r="O1" s="1364" t="s">
        <v>160</v>
      </c>
      <c r="P1" s="1375" t="s">
        <v>11</v>
      </c>
      <c r="Q1" s="1375" t="s">
        <v>113</v>
      </c>
    </row>
    <row r="2" spans="1:32" ht="39" customHeight="1">
      <c r="A2" s="546"/>
      <c r="B2" s="547" t="s">
        <v>24</v>
      </c>
      <c r="C2" s="548"/>
      <c r="D2" s="548"/>
      <c r="E2" s="548"/>
      <c r="F2" s="549"/>
      <c r="H2" s="210" t="s">
        <v>111</v>
      </c>
      <c r="I2" s="550"/>
      <c r="J2" s="208"/>
      <c r="K2" s="551"/>
      <c r="L2" s="1377"/>
      <c r="M2" s="1377"/>
      <c r="N2" s="1365"/>
      <c r="O2" s="1377"/>
      <c r="P2" s="1376"/>
      <c r="Q2" s="1376"/>
      <c r="U2" s="12" t="s">
        <v>863</v>
      </c>
      <c r="V2" s="202"/>
      <c r="W2" s="202"/>
      <c r="Y2" s="552"/>
      <c r="Z2" s="552"/>
      <c r="AA2" s="552"/>
      <c r="AB2" s="552"/>
      <c r="AC2" s="552"/>
      <c r="AD2" s="552"/>
      <c r="AE2" s="552"/>
      <c r="AF2" s="552"/>
    </row>
    <row r="3" spans="1:32" ht="3" customHeight="1">
      <c r="A3" s="553"/>
      <c r="B3" s="554"/>
      <c r="C3" s="554"/>
      <c r="D3" s="554"/>
      <c r="E3" s="554"/>
      <c r="F3" s="555"/>
      <c r="H3" s="556"/>
      <c r="I3" s="557"/>
      <c r="J3" s="558"/>
      <c r="K3" s="559"/>
      <c r="L3" s="560"/>
      <c r="M3" s="560"/>
      <c r="N3" s="560"/>
      <c r="O3" s="560"/>
      <c r="P3" s="561"/>
      <c r="Q3" s="562"/>
      <c r="U3" s="202"/>
      <c r="V3" s="202"/>
      <c r="W3" s="202"/>
      <c r="Y3" s="552"/>
      <c r="Z3" s="552"/>
      <c r="AA3" s="552"/>
      <c r="AB3" s="552"/>
      <c r="AC3" s="552"/>
      <c r="AD3" s="552"/>
      <c r="AE3" s="552"/>
      <c r="AF3" s="552"/>
    </row>
    <row r="4" spans="1:32">
      <c r="A4" s="547"/>
      <c r="B4" s="547"/>
      <c r="C4" s="547"/>
      <c r="D4" s="547"/>
      <c r="E4" s="547"/>
      <c r="F4" s="547"/>
      <c r="H4" s="563"/>
      <c r="I4" s="563"/>
      <c r="J4" s="563"/>
      <c r="K4" s="563"/>
      <c r="L4" s="564"/>
      <c r="M4" s="565"/>
      <c r="O4" s="565"/>
      <c r="P4" s="565"/>
      <c r="Q4" s="567"/>
      <c r="R4" s="568"/>
      <c r="S4" s="568"/>
      <c r="U4" s="202"/>
      <c r="V4" s="202"/>
      <c r="W4" s="202"/>
      <c r="Y4" s="552"/>
      <c r="Z4" s="552"/>
      <c r="AA4" s="552"/>
      <c r="AB4" s="552"/>
      <c r="AC4" s="552"/>
      <c r="AD4" s="552"/>
      <c r="AE4" s="552"/>
      <c r="AF4" s="552"/>
    </row>
    <row r="5" spans="1:32" ht="11.25" customHeight="1">
      <c r="A5" s="538"/>
      <c r="B5" s="539"/>
      <c r="C5" s="539"/>
      <c r="D5" s="539"/>
      <c r="E5" s="539"/>
      <c r="F5" s="540"/>
      <c r="H5" s="569"/>
      <c r="I5" s="563"/>
      <c r="J5" s="563"/>
      <c r="K5" s="563"/>
      <c r="L5" s="564"/>
      <c r="M5" s="565"/>
      <c r="O5" s="565"/>
      <c r="P5" s="565"/>
      <c r="Q5" s="567"/>
      <c r="R5" s="568"/>
      <c r="S5" s="568"/>
      <c r="U5" s="1225"/>
      <c r="V5" s="1226"/>
      <c r="W5" s="1227"/>
      <c r="Y5" s="552"/>
      <c r="Z5" s="552"/>
      <c r="AA5" s="552"/>
      <c r="AB5" s="552"/>
      <c r="AC5" s="552"/>
      <c r="AD5" s="552"/>
      <c r="AE5" s="552"/>
      <c r="AF5" s="552"/>
    </row>
    <row r="6" spans="1:32" s="580" customFormat="1" ht="11.15" customHeight="1">
      <c r="A6" s="570"/>
      <c r="B6" s="571"/>
      <c r="C6" s="572"/>
      <c r="D6" s="572"/>
      <c r="E6" s="572"/>
      <c r="F6" s="573"/>
      <c r="G6" s="568"/>
      <c r="H6" s="572" t="s">
        <v>0</v>
      </c>
      <c r="I6" s="574"/>
      <c r="J6" s="574"/>
      <c r="K6" s="575"/>
      <c r="L6" s="576">
        <f>E15</f>
        <v>0</v>
      </c>
      <c r="M6" s="577">
        <f>IF(E15&gt;0,'HAW-Kennwerte_ZE'!C9,0)</f>
        <v>0</v>
      </c>
      <c r="N6" s="205">
        <f>IF(M6&gt;0,'HAW-Kennwerte_ZE'!D18,0)</f>
        <v>0</v>
      </c>
      <c r="O6" s="205"/>
      <c r="P6" s="578">
        <f>M6*N6*L6</f>
        <v>0</v>
      </c>
      <c r="Q6" s="932">
        <f>IF(P6&gt;0,'HAW-Kennwerte_ZE'!L9,0)</f>
        <v>0</v>
      </c>
      <c r="R6" s="568"/>
      <c r="S6" s="568"/>
      <c r="T6" s="568"/>
      <c r="U6" s="1200"/>
      <c r="V6" s="1201"/>
      <c r="W6" s="1202"/>
      <c r="X6" s="568"/>
      <c r="Y6" s="579"/>
      <c r="Z6" s="579"/>
      <c r="AA6" s="579"/>
      <c r="AB6" s="579"/>
      <c r="AC6" s="579"/>
      <c r="AD6" s="579"/>
      <c r="AE6" s="579"/>
      <c r="AF6" s="579"/>
    </row>
    <row r="7" spans="1:32" s="580" customFormat="1" ht="11.5" customHeight="1">
      <c r="A7" s="570"/>
      <c r="B7" s="928" t="str">
        <f>HAW!B4</f>
        <v>Hochschule …</v>
      </c>
      <c r="C7" s="928"/>
      <c r="D7" s="928"/>
      <c r="E7" s="928"/>
      <c r="F7" s="573"/>
      <c r="G7" s="568"/>
      <c r="H7" s="572" t="s">
        <v>161</v>
      </c>
      <c r="I7" s="572"/>
      <c r="J7" s="572"/>
      <c r="K7" s="572"/>
      <c r="L7" s="581">
        <f>E20</f>
        <v>0</v>
      </c>
      <c r="M7" s="577"/>
      <c r="N7" s="205"/>
      <c r="O7" s="205"/>
      <c r="P7" s="582">
        <f>IF(E20&gt;0,L7*3.5,0)</f>
        <v>0</v>
      </c>
      <c r="Q7" s="932">
        <f>IF(P7&gt;0,'HAW-Kennwerte_ZE'!$M$9,0)</f>
        <v>0</v>
      </c>
      <c r="R7" s="579"/>
      <c r="S7" s="568"/>
      <c r="T7" s="568"/>
      <c r="U7" s="1200"/>
      <c r="V7" s="1201"/>
      <c r="W7" s="1202"/>
      <c r="X7" s="568"/>
      <c r="Y7" s="579"/>
      <c r="Z7" s="579"/>
      <c r="AA7" s="579"/>
      <c r="AB7" s="579"/>
      <c r="AC7" s="579"/>
      <c r="AD7" s="579"/>
      <c r="AE7" s="579"/>
      <c r="AF7" s="579"/>
    </row>
    <row r="8" spans="1:32" s="580" customFormat="1" ht="11.5" customHeight="1">
      <c r="A8" s="570"/>
      <c r="B8" s="473">
        <f>HAW!B5</f>
        <v>0</v>
      </c>
      <c r="C8" s="19"/>
      <c r="D8" s="19"/>
      <c r="E8" s="19"/>
      <c r="F8" s="573"/>
      <c r="G8" s="568"/>
      <c r="H8" s="572" t="s">
        <v>208</v>
      </c>
      <c r="I8" s="572"/>
      <c r="J8" s="572"/>
      <c r="K8" s="572"/>
      <c r="L8" s="584">
        <f>IF(E22&gt;0,E22*E24,0)</f>
        <v>0</v>
      </c>
      <c r="M8" s="577">
        <f>IF(L8&gt;0,'HAW-Kennwerte_ZE'!D9,0)</f>
        <v>0</v>
      </c>
      <c r="N8" s="205"/>
      <c r="O8" s="205"/>
      <c r="P8" s="582">
        <f>L8*M8</f>
        <v>0</v>
      </c>
      <c r="Q8" s="932">
        <f>IF(P8&gt;0,'HAW-Kennwerte_ZE'!$M$9,0)</f>
        <v>0</v>
      </c>
      <c r="R8" s="568"/>
      <c r="S8" s="568"/>
      <c r="T8" s="568"/>
      <c r="U8" s="1200"/>
      <c r="V8" s="1201"/>
      <c r="W8" s="1202"/>
      <c r="X8" s="568"/>
      <c r="Y8" s="579"/>
      <c r="Z8" s="579"/>
      <c r="AA8" s="579"/>
      <c r="AB8" s="579"/>
      <c r="AC8" s="579"/>
      <c r="AD8" s="579"/>
      <c r="AE8" s="579"/>
      <c r="AF8" s="579"/>
    </row>
    <row r="9" spans="1:32" s="580" customFormat="1" ht="11.5" customHeight="1">
      <c r="A9" s="570"/>
      <c r="B9" s="929" t="s">
        <v>35</v>
      </c>
      <c r="C9" s="585"/>
      <c r="D9" s="585"/>
      <c r="E9" s="585"/>
      <c r="F9" s="573"/>
      <c r="G9" s="568"/>
      <c r="H9" s="572" t="s">
        <v>211</v>
      </c>
      <c r="I9" s="572"/>
      <c r="J9" s="572"/>
      <c r="K9" s="572"/>
      <c r="L9" s="584">
        <f>IF(E22&gt;0,E22*E25,0)</f>
        <v>0</v>
      </c>
      <c r="M9" s="577">
        <f>IF(L9&gt;0,'HAW-Kennwerte_ZE'!E9,0)</f>
        <v>0</v>
      </c>
      <c r="N9" s="205"/>
      <c r="O9" s="205"/>
      <c r="P9" s="582">
        <f>L9*M9</f>
        <v>0</v>
      </c>
      <c r="Q9" s="932">
        <f>IF(P9&gt;0,'HAW-Kennwerte_ZE'!$M$9,0)</f>
        <v>0</v>
      </c>
      <c r="R9" s="568"/>
      <c r="S9" s="568"/>
      <c r="T9" s="568"/>
      <c r="U9" s="1200"/>
      <c r="V9" s="1201"/>
      <c r="W9" s="1202"/>
      <c r="X9" s="568"/>
      <c r="Y9" s="579"/>
      <c r="Z9" s="579"/>
      <c r="AA9" s="579"/>
      <c r="AB9" s="579"/>
      <c r="AC9" s="579"/>
      <c r="AD9" s="579"/>
      <c r="AE9" s="579"/>
      <c r="AF9" s="579"/>
    </row>
    <row r="10" spans="1:32" s="580" customFormat="1" ht="11.5" customHeight="1">
      <c r="A10" s="570"/>
      <c r="B10" s="583" t="s">
        <v>162</v>
      </c>
      <c r="C10" s="690"/>
      <c r="D10" s="690"/>
      <c r="E10" s="690"/>
      <c r="F10" s="573"/>
      <c r="G10" s="568"/>
      <c r="H10" s="572" t="s">
        <v>210</v>
      </c>
      <c r="I10" s="572"/>
      <c r="J10" s="572"/>
      <c r="K10" s="572"/>
      <c r="L10" s="584">
        <f>IF(E22&gt;0,E22*E26,0)</f>
        <v>0</v>
      </c>
      <c r="M10" s="577">
        <f>IF(L10&gt;0,'HAW-Kennwerte_ZE'!F9,0)</f>
        <v>0</v>
      </c>
      <c r="N10" s="205"/>
      <c r="O10" s="205"/>
      <c r="P10" s="582">
        <f>L10*M10</f>
        <v>0</v>
      </c>
      <c r="Q10" s="932">
        <f>IF(P10&gt;0,'HAW-Kennwerte_ZE'!$M$9,0)</f>
        <v>0</v>
      </c>
      <c r="S10" s="579"/>
      <c r="T10" s="568"/>
      <c r="U10" s="1200"/>
      <c r="V10" s="1201"/>
      <c r="W10" s="1202"/>
      <c r="X10" s="568"/>
      <c r="Y10" s="579"/>
      <c r="Z10" s="579"/>
      <c r="AA10" s="579"/>
      <c r="AB10" s="579"/>
      <c r="AC10" s="579"/>
      <c r="AD10" s="579"/>
      <c r="AE10" s="579"/>
      <c r="AF10" s="579"/>
    </row>
    <row r="11" spans="1:32" s="580" customFormat="1" ht="11.5" customHeight="1">
      <c r="A11" s="570"/>
      <c r="B11" s="691"/>
      <c r="C11" s="692"/>
      <c r="D11" s="692"/>
      <c r="E11" s="692"/>
      <c r="F11" s="573"/>
      <c r="G11" s="568"/>
      <c r="H11" s="568" t="s">
        <v>55</v>
      </c>
      <c r="L11" s="586">
        <f>SUM(P8:P10)</f>
        <v>0</v>
      </c>
      <c r="M11" s="577"/>
      <c r="N11" s="205"/>
      <c r="O11" s="710">
        <f>IF(L11&gt;0,'HAW-Kennwerte_ZE'!I9,0)</f>
        <v>0</v>
      </c>
      <c r="P11" s="582">
        <f>L11*O11</f>
        <v>0</v>
      </c>
      <c r="Q11" s="937"/>
      <c r="S11" s="587"/>
      <c r="T11" s="568"/>
      <c r="U11" s="1200"/>
      <c r="V11" s="1201"/>
      <c r="W11" s="1202"/>
      <c r="X11" s="568"/>
      <c r="Y11" s="579"/>
      <c r="Z11" s="579"/>
      <c r="AA11" s="579"/>
      <c r="AB11" s="579"/>
      <c r="AC11" s="579"/>
      <c r="AD11" s="579"/>
      <c r="AE11" s="579"/>
      <c r="AF11" s="579"/>
    </row>
    <row r="12" spans="1:32" s="580" customFormat="1" ht="11.5" customHeight="1">
      <c r="A12" s="570"/>
      <c r="C12" s="572"/>
      <c r="D12" s="572"/>
      <c r="E12" s="572"/>
      <c r="F12" s="573"/>
      <c r="G12" s="568"/>
      <c r="H12" s="568" t="s">
        <v>163</v>
      </c>
      <c r="L12" s="586">
        <f>SUM(P7:P11)</f>
        <v>0</v>
      </c>
      <c r="M12" s="577"/>
      <c r="N12" s="205"/>
      <c r="O12" s="710">
        <f>IF(L12&gt;0,'HAW-Kennwerte_ZE'!J9,0)</f>
        <v>0</v>
      </c>
      <c r="P12" s="582">
        <f>L12*O12+IF(E28&gt;1,(E28-1)*'HAW-Kennwerte_ZE'!K9,0)</f>
        <v>0</v>
      </c>
      <c r="Q12" s="571"/>
      <c r="S12" s="587"/>
      <c r="T12" s="568"/>
      <c r="U12" s="1200"/>
      <c r="V12" s="1201"/>
      <c r="W12" s="1202"/>
      <c r="X12" s="568"/>
      <c r="Y12" s="579"/>
      <c r="Z12" s="579"/>
      <c r="AA12" s="579"/>
      <c r="AB12" s="579"/>
      <c r="AC12" s="579"/>
      <c r="AD12" s="579"/>
      <c r="AE12" s="579"/>
      <c r="AF12" s="579"/>
    </row>
    <row r="13" spans="1:32" s="580" customFormat="1">
      <c r="A13" s="570"/>
      <c r="C13" s="572"/>
      <c r="D13" s="572"/>
      <c r="E13" s="572"/>
      <c r="F13" s="573"/>
      <c r="G13" s="568"/>
      <c r="H13" s="568" t="s">
        <v>20</v>
      </c>
      <c r="I13" s="572"/>
      <c r="J13" s="572"/>
      <c r="K13" s="572"/>
      <c r="L13" s="588"/>
      <c r="M13" s="589"/>
      <c r="N13" s="590"/>
      <c r="O13" s="591"/>
      <c r="P13" s="592">
        <f>SUMPRODUCT(P6:P12,Q6:Q12)</f>
        <v>0</v>
      </c>
      <c r="Q13" s="572"/>
      <c r="T13" s="568"/>
      <c r="U13" s="1200"/>
      <c r="V13" s="1201"/>
      <c r="W13" s="1202"/>
      <c r="X13" s="568"/>
      <c r="Y13" s="579"/>
      <c r="Z13" s="579"/>
      <c r="AA13" s="579"/>
      <c r="AB13" s="579"/>
      <c r="AC13" s="579"/>
      <c r="AD13" s="579"/>
      <c r="AE13" s="579"/>
      <c r="AF13" s="579"/>
    </row>
    <row r="14" spans="1:32" s="580" customFormat="1" ht="11.5" customHeight="1">
      <c r="A14" s="570"/>
      <c r="B14" s="572"/>
      <c r="C14" s="572"/>
      <c r="D14" s="572"/>
      <c r="F14" s="573"/>
      <c r="G14" s="568"/>
      <c r="H14" s="572"/>
      <c r="I14" s="572"/>
      <c r="J14" s="572"/>
      <c r="K14" s="572"/>
      <c r="L14" s="593"/>
      <c r="M14" s="594"/>
      <c r="O14" s="595"/>
      <c r="P14" s="596">
        <f>SUM(P6:P13)</f>
        <v>0</v>
      </c>
      <c r="Q14" s="568"/>
      <c r="S14" s="579"/>
      <c r="T14" s="568"/>
      <c r="U14" s="570"/>
      <c r="V14" s="572"/>
      <c r="W14" s="615"/>
      <c r="X14" s="568"/>
      <c r="Y14" s="579"/>
      <c r="Z14" s="579"/>
      <c r="AA14" s="579"/>
      <c r="AB14" s="579"/>
      <c r="AC14" s="579"/>
      <c r="AD14" s="579"/>
      <c r="AE14" s="579"/>
      <c r="AF14" s="579"/>
    </row>
    <row r="15" spans="1:32" s="590" customFormat="1" ht="11.25" customHeight="1">
      <c r="A15" s="570"/>
      <c r="B15" s="572"/>
      <c r="C15" s="572"/>
      <c r="D15" s="597" t="s">
        <v>164</v>
      </c>
      <c r="E15" s="598"/>
      <c r="F15" s="573"/>
      <c r="G15" s="572"/>
      <c r="I15" s="571"/>
      <c r="J15" s="571"/>
      <c r="K15" s="571"/>
      <c r="L15" s="599"/>
      <c r="M15" s="600"/>
      <c r="O15" s="601"/>
      <c r="S15" s="579"/>
      <c r="T15" s="568"/>
      <c r="U15" s="570"/>
      <c r="V15" s="572"/>
      <c r="W15" s="573"/>
      <c r="X15" s="572"/>
      <c r="Y15" s="587"/>
      <c r="Z15" s="587"/>
      <c r="AA15" s="587"/>
      <c r="AB15" s="587"/>
      <c r="AC15" s="587"/>
      <c r="AD15" s="587"/>
      <c r="AE15" s="587"/>
      <c r="AF15" s="587"/>
    </row>
    <row r="16" spans="1:32" s="590" customFormat="1">
      <c r="A16" s="570"/>
      <c r="C16" s="602"/>
      <c r="D16" s="597"/>
      <c r="E16" s="603"/>
      <c r="F16" s="573"/>
      <c r="G16" s="572"/>
      <c r="S16" s="587"/>
      <c r="T16" s="572"/>
      <c r="U16" s="570"/>
      <c r="V16" s="572"/>
      <c r="W16" s="573"/>
      <c r="X16" s="572"/>
      <c r="Y16" s="587"/>
      <c r="Z16" s="587"/>
      <c r="AA16" s="587"/>
      <c r="AB16" s="587"/>
      <c r="AC16" s="587"/>
      <c r="AD16" s="587"/>
      <c r="AE16" s="587"/>
      <c r="AF16" s="587"/>
    </row>
    <row r="17" spans="1:32" s="580" customFormat="1" ht="10.5" customHeight="1">
      <c r="A17" s="570"/>
      <c r="B17" s="602"/>
      <c r="C17" s="602"/>
      <c r="D17" s="604"/>
      <c r="E17" s="605"/>
      <c r="F17" s="573"/>
      <c r="G17" s="568"/>
      <c r="S17" s="587"/>
      <c r="T17" s="572"/>
      <c r="U17" s="570"/>
      <c r="V17" s="572"/>
      <c r="W17" s="573"/>
      <c r="X17" s="568"/>
      <c r="Y17" s="579"/>
      <c r="Z17" s="579"/>
      <c r="AA17" s="579"/>
      <c r="AB17" s="579"/>
      <c r="AC17" s="579"/>
      <c r="AD17" s="579"/>
      <c r="AE17" s="579"/>
      <c r="AF17" s="579"/>
    </row>
    <row r="18" spans="1:32" s="580" customFormat="1" ht="11.5" customHeight="1">
      <c r="A18" s="570"/>
      <c r="B18" s="602"/>
      <c r="C18" s="572"/>
      <c r="D18" s="606"/>
      <c r="E18" s="572"/>
      <c r="F18" s="573"/>
      <c r="G18" s="568"/>
      <c r="I18" s="24" t="s">
        <v>15</v>
      </c>
      <c r="J18" s="607"/>
      <c r="K18" s="204"/>
      <c r="L18" s="207"/>
      <c r="M18" s="206"/>
      <c r="N18" s="607"/>
      <c r="Q18" s="1185" t="s">
        <v>789</v>
      </c>
      <c r="R18" s="579"/>
      <c r="S18" s="579"/>
      <c r="T18" s="568"/>
      <c r="U18" s="570"/>
      <c r="V18" s="572"/>
      <c r="W18" s="573"/>
      <c r="X18" s="568"/>
      <c r="Y18" s="579"/>
      <c r="Z18" s="579"/>
      <c r="AA18" s="579"/>
      <c r="AB18" s="579"/>
      <c r="AC18" s="579"/>
      <c r="AD18" s="579"/>
      <c r="AE18" s="579"/>
      <c r="AF18" s="579"/>
    </row>
    <row r="19" spans="1:32" s="580" customFormat="1" ht="11.5" customHeight="1">
      <c r="A19" s="570"/>
      <c r="B19" s="572"/>
      <c r="C19" s="547"/>
      <c r="D19" s="608"/>
      <c r="E19" s="609"/>
      <c r="F19" s="573"/>
      <c r="G19" s="568"/>
      <c r="H19" s="590"/>
      <c r="I19" s="1171" t="s">
        <v>293</v>
      </c>
      <c r="J19" s="610"/>
      <c r="K19" s="610"/>
      <c r="L19" s="611"/>
      <c r="M19" s="612"/>
      <c r="N19" s="613"/>
      <c r="O19" s="607"/>
      <c r="P19" s="457"/>
      <c r="Q19" s="722"/>
      <c r="R19" s="1163"/>
      <c r="S19" s="579"/>
      <c r="T19" s="568"/>
      <c r="U19" s="570"/>
      <c r="V19" s="572"/>
      <c r="W19" s="573"/>
      <c r="X19" s="568"/>
      <c r="Y19" s="579"/>
      <c r="Z19" s="579"/>
      <c r="AA19" s="579"/>
      <c r="AB19" s="579"/>
      <c r="AC19" s="579"/>
      <c r="AD19" s="579"/>
      <c r="AE19" s="579"/>
      <c r="AF19" s="579"/>
    </row>
    <row r="20" spans="1:32">
      <c r="A20" s="546"/>
      <c r="B20" s="547"/>
      <c r="C20" s="547"/>
      <c r="D20" s="614" t="s">
        <v>161</v>
      </c>
      <c r="E20" s="581">
        <f>P71</f>
        <v>0</v>
      </c>
      <c r="F20" s="615"/>
      <c r="H20" s="580"/>
      <c r="I20" s="1172"/>
      <c r="J20" s="616"/>
      <c r="K20" s="616"/>
      <c r="L20" s="617"/>
      <c r="M20" s="616"/>
      <c r="N20" s="618"/>
      <c r="O20" s="607"/>
      <c r="P20" s="458"/>
      <c r="Q20" s="723"/>
      <c r="R20" s="1164"/>
      <c r="S20" s="552"/>
      <c r="U20" s="546"/>
      <c r="V20" s="547"/>
      <c r="W20" s="615"/>
      <c r="Y20" s="552"/>
      <c r="Z20" s="552"/>
      <c r="AA20" s="552"/>
      <c r="AB20" s="552"/>
      <c r="AC20" s="552"/>
      <c r="AD20" s="552"/>
      <c r="AE20" s="552"/>
      <c r="AF20" s="552"/>
    </row>
    <row r="21" spans="1:32" s="580" customFormat="1" ht="11.5" customHeight="1">
      <c r="A21" s="570"/>
      <c r="B21" s="568"/>
      <c r="C21" s="572"/>
      <c r="E21" s="709"/>
      <c r="F21" s="573"/>
      <c r="G21" s="568"/>
      <c r="H21" s="541"/>
      <c r="I21" s="1172"/>
      <c r="J21" s="619"/>
      <c r="K21" s="619"/>
      <c r="L21" s="619"/>
      <c r="M21" s="619"/>
      <c r="N21" s="620"/>
      <c r="O21" s="621"/>
      <c r="P21" s="458"/>
      <c r="Q21" s="722"/>
      <c r="R21" s="1163"/>
      <c r="S21" s="579"/>
      <c r="T21" s="568"/>
      <c r="U21" s="570"/>
      <c r="V21" s="572"/>
      <c r="W21" s="573"/>
      <c r="X21" s="568"/>
      <c r="Y21" s="579"/>
      <c r="Z21" s="579"/>
      <c r="AA21" s="579"/>
      <c r="AB21" s="579"/>
      <c r="AC21" s="579"/>
      <c r="AD21" s="579"/>
      <c r="AE21" s="579"/>
      <c r="AF21" s="579"/>
    </row>
    <row r="22" spans="1:32" s="580" customFormat="1" ht="11.5" customHeight="1">
      <c r="A22" s="570"/>
      <c r="B22" s="572"/>
      <c r="C22" s="572"/>
      <c r="D22" s="614" t="s">
        <v>165</v>
      </c>
      <c r="E22" s="584">
        <f>E63</f>
        <v>0</v>
      </c>
      <c r="F22" s="573"/>
      <c r="G22" s="568"/>
      <c r="H22" s="622"/>
      <c r="I22" s="1172"/>
      <c r="J22" s="619"/>
      <c r="K22" s="619"/>
      <c r="L22" s="619"/>
      <c r="M22" s="619"/>
      <c r="N22" s="620"/>
      <c r="O22" s="621"/>
      <c r="P22" s="458"/>
      <c r="Q22" s="722"/>
      <c r="R22" s="1163"/>
      <c r="S22" s="579"/>
      <c r="T22" s="568"/>
      <c r="U22" s="570"/>
      <c r="V22" s="572"/>
      <c r="W22" s="573"/>
      <c r="X22" s="568"/>
      <c r="Y22" s="579"/>
      <c r="Z22" s="579"/>
      <c r="AA22" s="579"/>
      <c r="AB22" s="579"/>
      <c r="AC22" s="579"/>
      <c r="AD22" s="579"/>
      <c r="AE22" s="579"/>
      <c r="AF22" s="579"/>
    </row>
    <row r="23" spans="1:32" s="580" customFormat="1" ht="11.5" customHeight="1">
      <c r="A23" s="570"/>
      <c r="B23" s="572"/>
      <c r="C23" s="572"/>
      <c r="D23" s="597" t="s">
        <v>207</v>
      </c>
      <c r="E23" s="568"/>
      <c r="F23" s="573"/>
      <c r="G23" s="568"/>
      <c r="H23" s="568"/>
      <c r="I23" s="1172"/>
      <c r="J23" s="619"/>
      <c r="K23" s="619"/>
      <c r="L23" s="619"/>
      <c r="M23" s="619"/>
      <c r="N23" s="620"/>
      <c r="O23" s="621"/>
      <c r="P23" s="458"/>
      <c r="Q23" s="722"/>
      <c r="R23" s="1163"/>
      <c r="S23" s="579"/>
      <c r="T23" s="568"/>
      <c r="U23" s="570"/>
      <c r="V23" s="572"/>
      <c r="W23" s="573"/>
      <c r="X23" s="568"/>
      <c r="Y23" s="579"/>
      <c r="Z23" s="579"/>
      <c r="AA23" s="579"/>
      <c r="AB23" s="579"/>
      <c r="AC23" s="579"/>
      <c r="AD23" s="579"/>
      <c r="AE23" s="579"/>
      <c r="AF23" s="579"/>
    </row>
    <row r="24" spans="1:32" s="580" customFormat="1" ht="11.5" customHeight="1">
      <c r="A24" s="570"/>
      <c r="B24" s="572"/>
      <c r="C24" s="572"/>
      <c r="D24" s="751" t="s">
        <v>208</v>
      </c>
      <c r="E24" s="623">
        <f>IF((E25+E26)&gt;0,1-(E25+E26),1)</f>
        <v>1</v>
      </c>
      <c r="F24" s="573"/>
      <c r="G24" s="568"/>
      <c r="H24" s="568"/>
      <c r="I24" s="1172"/>
      <c r="J24" s="619"/>
      <c r="K24" s="619"/>
      <c r="L24" s="619"/>
      <c r="M24" s="619"/>
      <c r="N24" s="620"/>
      <c r="O24" s="621"/>
      <c r="P24" s="458"/>
      <c r="Q24" s="722"/>
      <c r="R24" s="1163"/>
      <c r="S24" s="579"/>
      <c r="T24" s="568"/>
      <c r="U24" s="570"/>
      <c r="V24" s="572"/>
      <c r="W24" s="573"/>
      <c r="X24" s="568"/>
      <c r="Y24" s="579"/>
      <c r="Z24" s="579"/>
      <c r="AA24" s="579"/>
      <c r="AB24" s="579"/>
      <c r="AC24" s="579"/>
      <c r="AD24" s="579"/>
      <c r="AE24" s="579"/>
      <c r="AF24" s="579"/>
    </row>
    <row r="25" spans="1:32" s="580" customFormat="1" ht="11.5" customHeight="1">
      <c r="A25" s="570"/>
      <c r="B25" s="572"/>
      <c r="C25" s="572"/>
      <c r="D25" s="751" t="s">
        <v>209</v>
      </c>
      <c r="E25" s="624"/>
      <c r="F25" s="573"/>
      <c r="G25" s="568"/>
      <c r="H25" s="568"/>
      <c r="I25" s="1172"/>
      <c r="J25" s="619"/>
      <c r="K25" s="619"/>
      <c r="L25" s="619"/>
      <c r="M25" s="619"/>
      <c r="N25" s="619"/>
      <c r="O25" s="203"/>
      <c r="P25" s="458"/>
      <c r="Q25" s="722"/>
      <c r="R25" s="1163"/>
      <c r="S25" s="579"/>
      <c r="T25" s="568"/>
      <c r="U25" s="570"/>
      <c r="V25" s="572"/>
      <c r="W25" s="573"/>
      <c r="X25" s="568"/>
      <c r="Y25" s="579"/>
      <c r="Z25" s="579"/>
      <c r="AA25" s="579"/>
      <c r="AB25" s="579"/>
      <c r="AC25" s="579"/>
      <c r="AD25" s="579"/>
      <c r="AE25" s="579"/>
      <c r="AF25" s="579"/>
    </row>
    <row r="26" spans="1:32" s="580" customFormat="1" ht="11.5" customHeight="1">
      <c r="A26" s="570"/>
      <c r="B26" s="572"/>
      <c r="C26" s="572"/>
      <c r="D26" s="751" t="s">
        <v>210</v>
      </c>
      <c r="E26" s="624"/>
      <c r="F26" s="573"/>
      <c r="G26" s="568"/>
      <c r="H26" s="568"/>
      <c r="I26" s="1172"/>
      <c r="J26" s="619"/>
      <c r="K26" s="619"/>
      <c r="L26" s="619"/>
      <c r="M26" s="619"/>
      <c r="N26" s="619"/>
      <c r="O26" s="203"/>
      <c r="P26" s="459"/>
      <c r="Q26" s="722"/>
      <c r="R26" s="1163"/>
      <c r="S26" s="579"/>
      <c r="T26" s="568"/>
      <c r="U26" s="570"/>
      <c r="V26" s="572"/>
      <c r="W26" s="573"/>
      <c r="X26" s="568"/>
      <c r="Y26" s="579"/>
      <c r="Z26" s="579"/>
      <c r="AA26" s="579"/>
      <c r="AB26" s="579"/>
      <c r="AC26" s="579"/>
      <c r="AD26" s="579"/>
      <c r="AE26" s="579"/>
      <c r="AF26" s="579"/>
    </row>
    <row r="27" spans="1:32" s="580" customFormat="1" ht="11.5" customHeight="1">
      <c r="A27" s="570"/>
      <c r="B27" s="572"/>
      <c r="C27" s="572"/>
      <c r="D27" s="597"/>
      <c r="E27" s="568"/>
      <c r="F27" s="573"/>
      <c r="G27" s="568"/>
      <c r="H27" s="625"/>
      <c r="I27" s="204"/>
      <c r="J27" s="203"/>
      <c r="K27" s="203"/>
      <c r="L27" s="203"/>
      <c r="M27" s="203"/>
      <c r="N27" s="203"/>
      <c r="O27" s="203"/>
      <c r="P27" s="38">
        <f>SUM(P19:P26)</f>
        <v>0</v>
      </c>
      <c r="Q27" s="579"/>
      <c r="R27" s="579"/>
      <c r="S27" s="579"/>
      <c r="T27" s="568"/>
      <c r="U27" s="570"/>
      <c r="V27" s="572"/>
      <c r="W27" s="573"/>
      <c r="X27" s="568"/>
      <c r="Y27" s="579"/>
      <c r="Z27" s="579"/>
      <c r="AA27" s="579"/>
      <c r="AB27" s="579"/>
      <c r="AC27" s="579"/>
      <c r="AD27" s="579"/>
      <c r="AE27" s="579"/>
      <c r="AF27" s="579"/>
    </row>
    <row r="28" spans="1:32" s="580" customFormat="1" ht="11.5" customHeight="1">
      <c r="A28" s="570"/>
      <c r="B28" s="572"/>
      <c r="C28" s="572"/>
      <c r="D28" s="597" t="s">
        <v>190</v>
      </c>
      <c r="E28" s="713"/>
      <c r="F28" s="573"/>
      <c r="G28" s="568"/>
      <c r="H28" s="625"/>
      <c r="I28" s="204"/>
      <c r="J28" s="203"/>
      <c r="K28" s="203"/>
      <c r="L28" s="203"/>
      <c r="M28" s="203"/>
      <c r="N28" s="203"/>
      <c r="O28" s="203"/>
      <c r="P28" s="101"/>
      <c r="Q28" s="579"/>
      <c r="R28" s="579"/>
      <c r="S28" s="579"/>
      <c r="T28" s="568"/>
      <c r="U28" s="570"/>
      <c r="V28" s="572"/>
      <c r="W28" s="573"/>
      <c r="X28" s="568"/>
      <c r="Y28" s="579"/>
      <c r="Z28" s="579"/>
      <c r="AA28" s="579"/>
      <c r="AB28" s="579"/>
      <c r="AC28" s="579"/>
      <c r="AD28" s="579"/>
      <c r="AE28" s="579"/>
      <c r="AF28" s="579"/>
    </row>
    <row r="29" spans="1:32" s="580" customFormat="1" ht="11.5" customHeight="1">
      <c r="A29" s="570"/>
      <c r="B29" s="626"/>
      <c r="C29" s="547"/>
      <c r="D29" s="572"/>
      <c r="E29" s="572"/>
      <c r="F29" s="573"/>
      <c r="G29" s="568"/>
      <c r="H29" s="627"/>
      <c r="Q29" s="628"/>
      <c r="R29" s="579"/>
      <c r="S29" s="579"/>
      <c r="T29" s="568"/>
      <c r="U29" s="570"/>
      <c r="V29" s="572"/>
      <c r="W29" s="573"/>
      <c r="X29" s="568"/>
      <c r="Y29" s="579"/>
      <c r="Z29" s="579"/>
      <c r="AA29" s="579"/>
      <c r="AB29" s="579"/>
      <c r="AC29" s="579"/>
      <c r="AD29" s="579"/>
      <c r="AE29" s="579"/>
      <c r="AF29" s="579"/>
    </row>
    <row r="30" spans="1:32" s="580" customFormat="1" ht="11.5" customHeight="1">
      <c r="A30" s="570"/>
      <c r="B30" s="547"/>
      <c r="C30" s="597"/>
      <c r="D30" s="597" t="s">
        <v>29</v>
      </c>
      <c r="E30" s="724">
        <f>HAW!D24</f>
        <v>0</v>
      </c>
      <c r="F30" s="573"/>
      <c r="G30" s="568"/>
      <c r="H30" s="547"/>
      <c r="Q30" s="629"/>
      <c r="R30" s="552"/>
      <c r="S30" s="552"/>
      <c r="T30" s="541"/>
      <c r="U30" s="546"/>
      <c r="V30" s="547"/>
      <c r="W30" s="573"/>
      <c r="X30" s="568"/>
      <c r="Y30" s="579"/>
      <c r="Z30" s="579"/>
      <c r="AA30" s="579"/>
      <c r="AB30" s="579"/>
      <c r="AC30" s="579"/>
      <c r="AD30" s="579"/>
      <c r="AE30" s="579"/>
      <c r="AF30" s="579"/>
    </row>
    <row r="31" spans="1:32" s="580" customFormat="1" ht="11.5" customHeight="1">
      <c r="A31" s="570"/>
      <c r="B31" s="547"/>
      <c r="C31" s="597"/>
      <c r="D31" s="597" t="s">
        <v>30</v>
      </c>
      <c r="E31" s="770">
        <f>HAW!D25</f>
        <v>0</v>
      </c>
      <c r="F31" s="573"/>
      <c r="G31" s="568"/>
      <c r="H31" s="568"/>
      <c r="I31" s="572"/>
      <c r="J31" s="572"/>
      <c r="K31" s="572"/>
      <c r="L31" s="566"/>
      <c r="M31" s="566"/>
      <c r="N31" s="566"/>
      <c r="O31" s="541"/>
      <c r="P31" s="566"/>
      <c r="Q31" s="630"/>
      <c r="R31" s="552"/>
      <c r="S31" s="552"/>
      <c r="T31" s="568"/>
      <c r="U31" s="570"/>
      <c r="V31" s="572"/>
      <c r="W31" s="573"/>
      <c r="X31" s="568"/>
      <c r="Y31" s="579"/>
      <c r="Z31" s="579"/>
      <c r="AA31" s="579"/>
      <c r="AB31" s="579"/>
      <c r="AC31" s="579"/>
      <c r="AD31" s="579"/>
      <c r="AE31" s="579"/>
      <c r="AF31" s="579"/>
    </row>
    <row r="32" spans="1:32" ht="12" customHeight="1">
      <c r="A32" s="546"/>
      <c r="B32" s="547"/>
      <c r="C32" s="547"/>
      <c r="D32" s="547"/>
      <c r="E32" s="547"/>
      <c r="F32" s="615"/>
      <c r="H32" s="631"/>
      <c r="I32" s="631"/>
      <c r="J32" s="631"/>
      <c r="K32" s="631"/>
      <c r="L32" s="632"/>
      <c r="M32" s="632"/>
      <c r="N32" s="632"/>
      <c r="O32" s="633"/>
      <c r="P32" s="632"/>
      <c r="Q32" s="630"/>
      <c r="R32" s="552"/>
      <c r="S32" s="552"/>
      <c r="T32" s="568"/>
      <c r="U32" s="570"/>
      <c r="V32" s="572"/>
      <c r="W32" s="615"/>
      <c r="Y32" s="552"/>
      <c r="Z32" s="552"/>
      <c r="AA32" s="552"/>
      <c r="AB32" s="552"/>
      <c r="AC32" s="552"/>
      <c r="AD32" s="552"/>
      <c r="AE32" s="552"/>
      <c r="AF32" s="552"/>
    </row>
    <row r="33" spans="1:32" ht="12" customHeight="1">
      <c r="A33" s="539"/>
      <c r="B33" s="539"/>
      <c r="C33" s="539"/>
      <c r="D33" s="539"/>
      <c r="E33" s="539"/>
      <c r="F33" s="539"/>
      <c r="H33" s="634"/>
      <c r="I33" s="464"/>
      <c r="J33" s="465"/>
      <c r="K33" s="464"/>
      <c r="L33" s="635"/>
      <c r="M33" s="465"/>
      <c r="N33" s="636"/>
      <c r="O33" s="636"/>
      <c r="P33" s="468"/>
      <c r="Q33" s="637"/>
      <c r="S33" s="552"/>
      <c r="U33" s="546"/>
      <c r="V33" s="547"/>
      <c r="W33" s="615"/>
      <c r="Y33" s="552"/>
      <c r="Z33" s="552"/>
      <c r="AA33" s="552"/>
      <c r="AB33" s="552"/>
      <c r="AC33" s="552"/>
      <c r="AD33" s="552"/>
      <c r="AE33" s="552"/>
      <c r="AF33" s="552"/>
    </row>
    <row r="34" spans="1:32" ht="50.5" customHeight="1" thickBot="1">
      <c r="A34" s="547"/>
      <c r="B34" s="547"/>
      <c r="C34" s="606"/>
      <c r="D34" s="638"/>
      <c r="E34" s="202"/>
      <c r="F34" s="219" t="s">
        <v>16</v>
      </c>
      <c r="G34" s="206"/>
      <c r="H34" s="220" t="s">
        <v>0</v>
      </c>
      <c r="I34" s="220" t="s">
        <v>1</v>
      </c>
      <c r="J34" s="221" t="s">
        <v>197</v>
      </c>
      <c r="K34" s="221" t="s">
        <v>159</v>
      </c>
      <c r="L34" s="221" t="s">
        <v>198</v>
      </c>
      <c r="M34" s="221" t="s">
        <v>166</v>
      </c>
      <c r="N34" s="220" t="s">
        <v>20</v>
      </c>
      <c r="O34" s="221" t="s">
        <v>199</v>
      </c>
      <c r="P34" s="607"/>
      <c r="Q34" s="639"/>
      <c r="S34" s="552"/>
      <c r="U34" s="546"/>
      <c r="V34" s="547"/>
      <c r="W34" s="615"/>
      <c r="Y34" s="552"/>
      <c r="Z34" s="552"/>
      <c r="AA34" s="552"/>
      <c r="AB34" s="552"/>
      <c r="AC34" s="552"/>
      <c r="AD34" s="552"/>
      <c r="AE34" s="552"/>
      <c r="AF34" s="552"/>
    </row>
    <row r="35" spans="1:32" ht="17.149999999999999" customHeight="1" thickBot="1">
      <c r="A35" s="547"/>
      <c r="B35" s="571"/>
      <c r="C35" s="547"/>
      <c r="D35" s="547"/>
      <c r="E35" s="202"/>
      <c r="F35" s="202"/>
      <c r="G35" s="206"/>
      <c r="H35" s="640">
        <f>P6+SUMIF(Q19:Q26,H34,P19:P26)</f>
        <v>0</v>
      </c>
      <c r="I35" s="641"/>
      <c r="J35" s="641"/>
      <c r="K35" s="640">
        <f>+SUMIF(Q19:Q26,K34,P19:P26)</f>
        <v>0</v>
      </c>
      <c r="L35" s="640">
        <f>P7+SUMIF(Q19:Q26,L34,P19:P26)</f>
        <v>0</v>
      </c>
      <c r="M35" s="640">
        <f>SUM(P8:P12)+SUMIF(Q19:Q26,M34,P19:P26)</f>
        <v>0</v>
      </c>
      <c r="N35" s="640">
        <f>P13+SUMIF(Q19:Q26,N34,P19:P26)</f>
        <v>0</v>
      </c>
      <c r="O35" s="640">
        <f>SUMIF(Q19:Q26,O34,P19:P26)</f>
        <v>0</v>
      </c>
      <c r="P35" s="331">
        <f>SUM(H35:O35)</f>
        <v>0</v>
      </c>
      <c r="Q35" s="639"/>
      <c r="S35" s="552"/>
      <c r="U35" s="546"/>
      <c r="V35" s="547"/>
      <c r="W35" s="615"/>
    </row>
    <row r="36" spans="1:32" ht="11.25" customHeight="1">
      <c r="A36" s="547"/>
      <c r="B36" s="547"/>
      <c r="C36" s="547"/>
      <c r="D36" s="547"/>
      <c r="E36" s="547"/>
      <c r="F36" s="547"/>
      <c r="I36" s="547"/>
      <c r="J36" s="547"/>
      <c r="K36" s="547"/>
      <c r="Q36" s="637"/>
      <c r="S36" s="552"/>
      <c r="U36" s="546"/>
      <c r="V36" s="547"/>
      <c r="W36" s="615"/>
      <c r="Y36" s="552"/>
      <c r="Z36" s="552"/>
      <c r="AA36" s="552"/>
      <c r="AB36" s="552"/>
      <c r="AC36" s="552"/>
      <c r="AD36" s="552"/>
      <c r="AE36" s="552"/>
      <c r="AF36" s="552"/>
    </row>
    <row r="37" spans="1:32">
      <c r="A37" s="547"/>
      <c r="B37" s="209"/>
      <c r="C37" s="209"/>
      <c r="D37" s="209"/>
      <c r="E37" s="209"/>
      <c r="F37" s="209"/>
      <c r="G37" s="209"/>
      <c r="H37" s="209"/>
      <c r="I37" s="209"/>
      <c r="J37" s="209"/>
      <c r="K37" s="642"/>
      <c r="L37" s="209"/>
      <c r="M37" s="642"/>
      <c r="N37" s="209"/>
      <c r="O37" s="642"/>
      <c r="P37" s="642"/>
      <c r="Q37" s="633"/>
      <c r="S37" s="552"/>
      <c r="U37" s="546"/>
      <c r="V37" s="547"/>
      <c r="W37" s="615"/>
      <c r="Y37" s="552"/>
      <c r="Z37" s="552"/>
      <c r="AA37" s="552"/>
      <c r="AB37" s="552"/>
      <c r="AC37" s="552"/>
      <c r="AD37" s="552"/>
      <c r="AE37" s="552"/>
      <c r="AF37" s="552"/>
    </row>
    <row r="38" spans="1:32" ht="11.25" customHeight="1">
      <c r="A38" s="547"/>
      <c r="B38" s="643"/>
      <c r="C38" s="643"/>
      <c r="D38" s="643"/>
      <c r="E38" s="643"/>
      <c r="F38" s="643"/>
      <c r="G38" s="643"/>
      <c r="H38" s="644"/>
      <c r="I38" s="645"/>
      <c r="J38" s="645"/>
      <c r="K38" s="645"/>
      <c r="L38" s="646"/>
      <c r="M38" s="646"/>
      <c r="N38" s="646"/>
      <c r="O38" s="643"/>
      <c r="P38" s="646"/>
      <c r="Q38" s="647" t="str">
        <f>HAW!B28</f>
        <v>Kennwertverfahren NRW für HAW; HIS-Institut für Hochschulentwicklung e.V. (24.04.2026)</v>
      </c>
      <c r="S38" s="552"/>
      <c r="U38" s="546"/>
      <c r="V38" s="547"/>
      <c r="W38" s="615"/>
      <c r="Y38" s="552"/>
      <c r="Z38" s="552"/>
      <c r="AA38" s="552"/>
      <c r="AB38" s="552"/>
      <c r="AC38" s="552"/>
      <c r="AD38" s="552"/>
      <c r="AE38" s="552"/>
      <c r="AF38" s="552"/>
    </row>
    <row r="39" spans="1:32" ht="13">
      <c r="H39" s="648"/>
      <c r="I39" s="649"/>
      <c r="J39" s="649"/>
      <c r="K39" s="649"/>
      <c r="Q39" s="650"/>
      <c r="S39" s="552"/>
      <c r="U39" s="546"/>
      <c r="V39" s="547"/>
      <c r="W39" s="615"/>
      <c r="Y39" s="552"/>
      <c r="Z39" s="552"/>
      <c r="AA39" s="552"/>
      <c r="AB39" s="552"/>
      <c r="AC39" s="552"/>
      <c r="AD39" s="552"/>
      <c r="AE39" s="552"/>
      <c r="AF39" s="552"/>
    </row>
    <row r="40" spans="1:32" ht="11.25" customHeight="1">
      <c r="I40" s="649"/>
      <c r="J40" s="649"/>
      <c r="K40" s="649"/>
      <c r="Q40" s="650"/>
      <c r="S40" s="552"/>
      <c r="U40" s="546"/>
      <c r="V40" s="547"/>
      <c r="W40" s="615"/>
      <c r="Y40" s="552"/>
      <c r="Z40" s="552"/>
      <c r="AA40" s="552"/>
      <c r="AB40" s="552"/>
      <c r="AC40" s="552"/>
      <c r="AD40" s="552"/>
      <c r="AE40" s="552"/>
      <c r="AF40" s="552"/>
    </row>
    <row r="41" spans="1:32" ht="13">
      <c r="A41" s="547"/>
      <c r="B41" s="651" t="str">
        <f>IF(B8=0,B7,CONCATENATE(B7,B8))</f>
        <v>Hochschule …</v>
      </c>
      <c r="C41" s="652"/>
      <c r="D41" s="652"/>
      <c r="E41" s="652"/>
      <c r="F41" s="652"/>
      <c r="G41" s="652"/>
      <c r="H41" s="652"/>
      <c r="I41" s="653"/>
      <c r="J41" s="653"/>
      <c r="K41" s="653"/>
      <c r="L41" s="654"/>
      <c r="M41" s="654"/>
      <c r="N41" s="654"/>
      <c r="O41" s="655"/>
      <c r="P41" s="654"/>
      <c r="Q41" s="656"/>
      <c r="S41" s="552"/>
      <c r="U41" s="546"/>
      <c r="V41" s="547"/>
      <c r="W41" s="615"/>
      <c r="Y41" s="552"/>
      <c r="Z41" s="552"/>
      <c r="AA41" s="552"/>
      <c r="AB41" s="552"/>
      <c r="AC41" s="552"/>
      <c r="AD41" s="552"/>
      <c r="AE41" s="552"/>
      <c r="AF41" s="552"/>
    </row>
    <row r="42" spans="1:32">
      <c r="A42" s="547"/>
      <c r="B42" s="652" t="s">
        <v>35</v>
      </c>
      <c r="C42" s="652"/>
      <c r="D42" s="652"/>
      <c r="E42" s="652"/>
      <c r="F42" s="652"/>
      <c r="G42" s="652"/>
      <c r="H42" s="657"/>
      <c r="I42" s="655"/>
      <c r="J42" s="655"/>
      <c r="K42" s="655"/>
      <c r="L42" s="654"/>
      <c r="M42" s="654"/>
      <c r="N42" s="654"/>
      <c r="O42" s="655"/>
      <c r="P42" s="654"/>
      <c r="Q42" s="658"/>
      <c r="S42" s="552"/>
      <c r="U42" s="546"/>
      <c r="V42" s="547"/>
      <c r="W42" s="615"/>
    </row>
    <row r="43" spans="1:32" ht="10.4" customHeight="1">
      <c r="B43" s="655" t="str">
        <f>B10</f>
        <v>[Bereich, Standort]</v>
      </c>
      <c r="C43" s="655"/>
      <c r="D43" s="655"/>
      <c r="E43" s="655"/>
      <c r="F43" s="655"/>
      <c r="G43" s="652"/>
      <c r="H43" s="655"/>
      <c r="I43" s="655"/>
      <c r="J43" s="655"/>
      <c r="K43" s="655"/>
      <c r="L43" s="654"/>
      <c r="M43" s="654"/>
      <c r="N43" s="654"/>
      <c r="O43" s="655"/>
      <c r="P43" s="654"/>
      <c r="Q43" s="658"/>
      <c r="S43" s="552"/>
      <c r="U43" s="546"/>
      <c r="V43" s="547"/>
      <c r="W43" s="615"/>
    </row>
    <row r="44" spans="1:32" ht="10.4" customHeight="1">
      <c r="B44" s="655"/>
      <c r="C44" s="655"/>
      <c r="D44" s="655"/>
      <c r="E44" s="655"/>
      <c r="F44" s="655"/>
      <c r="G44" s="652"/>
      <c r="H44" s="652"/>
      <c r="I44" s="652"/>
      <c r="J44" s="652"/>
      <c r="K44" s="652"/>
      <c r="L44" s="659"/>
      <c r="M44" s="659"/>
      <c r="N44" s="659"/>
      <c r="O44" s="652"/>
      <c r="P44" s="659"/>
      <c r="Q44" s="658"/>
      <c r="S44" s="552"/>
      <c r="U44" s="546"/>
      <c r="V44" s="547"/>
      <c r="W44" s="615"/>
    </row>
    <row r="45" spans="1:32">
      <c r="B45" s="655"/>
      <c r="C45" s="655"/>
      <c r="D45" s="655"/>
      <c r="E45" s="655"/>
      <c r="F45" s="655"/>
      <c r="G45" s="652"/>
      <c r="H45" s="652"/>
      <c r="I45" s="652"/>
      <c r="J45" s="652"/>
      <c r="K45" s="652"/>
      <c r="L45" s="659"/>
      <c r="M45" s="659"/>
      <c r="N45" s="659"/>
      <c r="O45" s="652"/>
      <c r="P45" s="659"/>
      <c r="Q45" s="658"/>
      <c r="S45" s="552"/>
      <c r="U45" s="546"/>
      <c r="V45" s="547"/>
      <c r="W45" s="615"/>
    </row>
    <row r="46" spans="1:32">
      <c r="A46" s="547"/>
      <c r="G46" s="547"/>
      <c r="H46" s="547"/>
      <c r="I46" s="547"/>
      <c r="J46" s="547"/>
      <c r="K46" s="547"/>
      <c r="L46" s="660"/>
      <c r="M46" s="660"/>
      <c r="N46" s="660"/>
      <c r="O46" s="547"/>
      <c r="P46" s="660"/>
      <c r="Q46" s="639"/>
      <c r="S46" s="552"/>
      <c r="U46" s="546"/>
      <c r="V46" s="547"/>
      <c r="W46" s="615"/>
    </row>
    <row r="47" spans="1:32">
      <c r="A47" s="547"/>
      <c r="G47" s="547"/>
      <c r="H47" s="547"/>
      <c r="I47" s="547"/>
      <c r="J47" s="547"/>
      <c r="K47" s="547"/>
      <c r="L47" s="660"/>
      <c r="M47" s="660"/>
      <c r="N47" s="660"/>
      <c r="O47" s="547"/>
      <c r="P47" s="660"/>
      <c r="Q47" s="639"/>
      <c r="S47" s="552"/>
      <c r="U47" s="546"/>
      <c r="V47" s="547"/>
      <c r="W47" s="615"/>
    </row>
    <row r="48" spans="1:32">
      <c r="A48" s="547"/>
      <c r="G48" s="547"/>
      <c r="H48" s="547"/>
      <c r="I48" s="547"/>
      <c r="J48" s="547"/>
      <c r="K48" s="547"/>
      <c r="L48" s="660"/>
      <c r="M48" s="660"/>
      <c r="N48" s="660"/>
      <c r="O48" s="547"/>
      <c r="P48" s="660"/>
      <c r="Q48" s="639"/>
      <c r="S48" s="552"/>
      <c r="U48" s="546"/>
      <c r="V48" s="547"/>
      <c r="W48" s="615"/>
    </row>
    <row r="49" spans="1:23" s="667" customFormat="1" ht="12" customHeight="1">
      <c r="A49" s="661"/>
      <c r="B49" s="633"/>
      <c r="C49" s="662" t="s">
        <v>39</v>
      </c>
      <c r="D49" s="633"/>
      <c r="E49" s="633"/>
      <c r="F49" s="633"/>
      <c r="G49" s="633"/>
      <c r="H49" s="663"/>
      <c r="I49" s="633"/>
      <c r="J49" s="664"/>
      <c r="K49" s="664"/>
      <c r="L49" s="664" t="s">
        <v>167</v>
      </c>
      <c r="M49" s="665"/>
      <c r="N49" s="632"/>
      <c r="O49" s="633"/>
      <c r="P49" s="632"/>
      <c r="Q49" s="639"/>
      <c r="R49" s="541"/>
      <c r="S49" s="552"/>
      <c r="T49" s="541"/>
      <c r="U49" s="546"/>
      <c r="V49" s="547"/>
      <c r="W49" s="1239"/>
    </row>
    <row r="50" spans="1:23">
      <c r="B50" s="547"/>
      <c r="D50" s="547"/>
      <c r="E50" s="547"/>
      <c r="G50" s="547"/>
      <c r="H50" s="668"/>
      <c r="I50" s="547"/>
      <c r="J50" s="547"/>
      <c r="L50" s="208"/>
      <c r="M50" s="113"/>
      <c r="N50" s="208"/>
      <c r="P50" s="541"/>
      <c r="Q50" s="639"/>
      <c r="R50" s="666"/>
      <c r="S50" s="666"/>
      <c r="T50" s="667"/>
      <c r="U50" s="1240"/>
      <c r="V50" s="1241"/>
      <c r="W50" s="615"/>
    </row>
    <row r="51" spans="1:23" ht="20.149999999999999" customHeight="1">
      <c r="A51" s="669"/>
      <c r="G51" s="547"/>
      <c r="H51" s="668"/>
      <c r="I51" s="547"/>
      <c r="L51" s="541"/>
      <c r="M51" s="670" t="s">
        <v>26</v>
      </c>
      <c r="N51" s="113" t="s">
        <v>27</v>
      </c>
      <c r="O51" s="113" t="s">
        <v>36</v>
      </c>
      <c r="P51" s="671" t="s">
        <v>11</v>
      </c>
      <c r="Q51" s="639"/>
      <c r="R51" s="552"/>
      <c r="S51" s="552"/>
      <c r="U51" s="1228"/>
      <c r="V51" s="1229"/>
      <c r="W51" s="1230"/>
    </row>
    <row r="52" spans="1:23" ht="11.15" customHeight="1">
      <c r="D52" s="597" t="s">
        <v>168</v>
      </c>
      <c r="E52" s="672"/>
      <c r="G52" s="547"/>
      <c r="H52" s="668"/>
      <c r="L52" s="614" t="s">
        <v>169</v>
      </c>
      <c r="M52" s="880">
        <f>M85</f>
        <v>0</v>
      </c>
      <c r="N52" s="881" t="str">
        <f>N85</f>
        <v/>
      </c>
      <c r="O52" s="897" t="str">
        <f>IFERROR(IF(M52*N52&gt;0,'HAW-Kennwerte'!T9,0),"")</f>
        <v/>
      </c>
      <c r="P52" s="586">
        <f t="shared" ref="P52:P59" si="0">IFERROR(IF(N52&gt;1,0,M52*N52*O52),"")</f>
        <v>0</v>
      </c>
      <c r="Q52" s="639"/>
      <c r="R52" s="552"/>
      <c r="S52" s="552"/>
      <c r="U52" s="1200"/>
      <c r="V52" s="1201"/>
      <c r="W52" s="1202"/>
    </row>
    <row r="53" spans="1:23" ht="11.15" customHeight="1">
      <c r="B53" s="547"/>
      <c r="G53" s="547"/>
      <c r="H53" s="668"/>
      <c r="L53" s="614" t="s">
        <v>170</v>
      </c>
      <c r="M53" s="880">
        <f t="shared" ref="M53:N58" si="1">M86</f>
        <v>0</v>
      </c>
      <c r="N53" s="881" t="str">
        <f t="shared" si="1"/>
        <v/>
      </c>
      <c r="O53" s="897" t="str">
        <f>IFERROR(IF(M53*N53&gt;0,'HAW-Kennwerte'!T12,0),"")</f>
        <v/>
      </c>
      <c r="P53" s="586">
        <f t="shared" si="0"/>
        <v>0</v>
      </c>
      <c r="Q53" s="639"/>
      <c r="R53" s="552"/>
      <c r="S53" s="552"/>
      <c r="U53" s="1200"/>
      <c r="V53" s="1201"/>
      <c r="W53" s="1202"/>
    </row>
    <row r="54" spans="1:23" ht="11.15" customHeight="1">
      <c r="D54" s="597" t="s">
        <v>171</v>
      </c>
      <c r="E54" s="672"/>
      <c r="G54" s="547"/>
      <c r="H54" s="668"/>
      <c r="L54" s="614" t="s">
        <v>21</v>
      </c>
      <c r="M54" s="880">
        <f t="shared" si="1"/>
        <v>0</v>
      </c>
      <c r="N54" s="881" t="str">
        <f t="shared" si="1"/>
        <v/>
      </c>
      <c r="O54" s="897" t="str">
        <f>IFERROR(IF(M54*N54&gt;0,'HAW-Kennwerte'!T21,0),"")</f>
        <v/>
      </c>
      <c r="P54" s="586">
        <f t="shared" si="0"/>
        <v>0</v>
      </c>
      <c r="Q54" s="639"/>
      <c r="R54" s="552"/>
      <c r="S54" s="552"/>
      <c r="U54" s="1200"/>
      <c r="V54" s="1201"/>
      <c r="W54" s="1202"/>
    </row>
    <row r="55" spans="1:23" ht="11.15" customHeight="1">
      <c r="D55" s="597" t="s">
        <v>172</v>
      </c>
      <c r="E55" s="672"/>
      <c r="H55" s="668"/>
      <c r="L55" s="614" t="s">
        <v>106</v>
      </c>
      <c r="M55" s="880">
        <f t="shared" si="1"/>
        <v>0</v>
      </c>
      <c r="N55" s="881" t="str">
        <f t="shared" si="1"/>
        <v/>
      </c>
      <c r="O55" s="897" t="str">
        <f>IFERROR(IF(M55*N55&gt;0,'HAW-Kennwerte'!T23,0),"")</f>
        <v/>
      </c>
      <c r="P55" s="586">
        <f t="shared" si="0"/>
        <v>0</v>
      </c>
      <c r="R55" s="552"/>
      <c r="S55" s="552"/>
      <c r="U55" s="1200"/>
      <c r="V55" s="1201"/>
      <c r="W55" s="1202"/>
    </row>
    <row r="56" spans="1:23" ht="11.15" customHeight="1">
      <c r="D56" s="597" t="s">
        <v>38</v>
      </c>
      <c r="E56" s="676" t="str">
        <f>IF(E52=0,"",(E54-E55)/E52)</f>
        <v/>
      </c>
      <c r="H56" s="668"/>
      <c r="L56" s="614" t="s">
        <v>107</v>
      </c>
      <c r="M56" s="880">
        <f t="shared" si="1"/>
        <v>0</v>
      </c>
      <c r="N56" s="881" t="str">
        <f t="shared" si="1"/>
        <v/>
      </c>
      <c r="O56" s="897" t="str">
        <f>IFERROR(IF(M56*N56&gt;0,'HAW-Kennwerte'!T24,0),"")</f>
        <v/>
      </c>
      <c r="P56" s="586">
        <f t="shared" si="0"/>
        <v>0</v>
      </c>
      <c r="R56" s="552"/>
      <c r="S56" s="552"/>
      <c r="U56" s="1200"/>
      <c r="V56" s="1201"/>
      <c r="W56" s="1202"/>
    </row>
    <row r="57" spans="1:23" ht="11.15" customHeight="1">
      <c r="D57" s="597" t="s">
        <v>173</v>
      </c>
      <c r="E57" s="677"/>
      <c r="H57" s="668"/>
      <c r="L57" s="614" t="s">
        <v>9</v>
      </c>
      <c r="M57" s="880">
        <f t="shared" si="1"/>
        <v>0</v>
      </c>
      <c r="N57" s="881" t="str">
        <f t="shared" si="1"/>
        <v/>
      </c>
      <c r="O57" s="897" t="str">
        <f>IFERROR(IF(M57*N57&gt;0,'HAW-Kennwerte'!T26,0),"")</f>
        <v/>
      </c>
      <c r="P57" s="586">
        <f t="shared" si="0"/>
        <v>0</v>
      </c>
      <c r="R57" s="552"/>
      <c r="S57" s="552"/>
      <c r="U57" s="1200"/>
      <c r="V57" s="1201"/>
      <c r="W57" s="1202"/>
    </row>
    <row r="58" spans="1:23" ht="11.15" customHeight="1">
      <c r="B58" s="547"/>
      <c r="H58" s="668"/>
      <c r="L58" s="614" t="s">
        <v>10</v>
      </c>
      <c r="M58" s="880">
        <f t="shared" si="1"/>
        <v>0</v>
      </c>
      <c r="N58" s="881" t="str">
        <f t="shared" si="1"/>
        <v/>
      </c>
      <c r="O58" s="897" t="str">
        <f>IFERROR(IF(M58*N58&gt;0,'HAW-Kennwerte'!T27,0),"")</f>
        <v/>
      </c>
      <c r="P58" s="586">
        <f t="shared" si="0"/>
        <v>0</v>
      </c>
      <c r="R58" s="552"/>
      <c r="S58" s="552"/>
      <c r="U58" s="1200"/>
      <c r="V58" s="1201"/>
      <c r="W58" s="1202"/>
    </row>
    <row r="59" spans="1:23" ht="11.15" customHeight="1">
      <c r="D59" s="608"/>
      <c r="E59" s="678">
        <f>IF(E52=0,0,(E56*E57+1)*E52)</f>
        <v>0</v>
      </c>
      <c r="H59" s="668"/>
      <c r="L59" s="673"/>
      <c r="M59" s="674"/>
      <c r="N59" s="675"/>
      <c r="O59" s="695"/>
      <c r="P59" s="586">
        <f t="shared" si="0"/>
        <v>0</v>
      </c>
      <c r="U59" s="1200"/>
      <c r="V59" s="1201"/>
      <c r="W59" s="1202"/>
    </row>
    <row r="60" spans="1:23" ht="11.15" customHeight="1">
      <c r="H60" s="668"/>
      <c r="L60" s="673"/>
      <c r="M60" s="674"/>
      <c r="N60" s="675"/>
      <c r="O60" s="695"/>
      <c r="P60" s="586">
        <f t="shared" ref="P60:P65" si="2">IFERROR(IF(N60&gt;1,0,M60*N60*O60),"")</f>
        <v>0</v>
      </c>
      <c r="U60" s="1200"/>
      <c r="V60" s="1201"/>
      <c r="W60" s="1202"/>
    </row>
    <row r="61" spans="1:23" ht="11.15" customHeight="1">
      <c r="B61" s="547"/>
      <c r="D61" s="597" t="s">
        <v>175</v>
      </c>
      <c r="E61" s="672"/>
      <c r="H61" s="668"/>
      <c r="L61" s="673"/>
      <c r="M61" s="674"/>
      <c r="N61" s="675"/>
      <c r="O61" s="695"/>
      <c r="P61" s="586">
        <f t="shared" si="2"/>
        <v>0</v>
      </c>
      <c r="U61" s="1200"/>
      <c r="V61" s="1201"/>
      <c r="W61" s="1202"/>
    </row>
    <row r="62" spans="1:23" ht="11.15" customHeight="1">
      <c r="B62" s="597"/>
      <c r="H62" s="668"/>
      <c r="L62" s="673"/>
      <c r="M62" s="674"/>
      <c r="N62" s="675"/>
      <c r="O62" s="695"/>
      <c r="P62" s="586">
        <f t="shared" si="2"/>
        <v>0</v>
      </c>
      <c r="U62" s="1200"/>
      <c r="V62" s="1201"/>
      <c r="W62" s="1202"/>
    </row>
    <row r="63" spans="1:23" ht="11.15" customHeight="1">
      <c r="B63" s="597"/>
      <c r="D63" s="608" t="s">
        <v>174</v>
      </c>
      <c r="E63" s="678">
        <f>IF(E61&gt;0,E61,E59)</f>
        <v>0</v>
      </c>
      <c r="H63" s="668"/>
      <c r="L63" s="673"/>
      <c r="M63" s="674"/>
      <c r="N63" s="675"/>
      <c r="O63" s="695"/>
      <c r="P63" s="586">
        <f t="shared" si="2"/>
        <v>0</v>
      </c>
      <c r="U63" s="1200"/>
      <c r="V63" s="1201"/>
      <c r="W63" s="1202"/>
    </row>
    <row r="64" spans="1:23" ht="11.15" customHeight="1">
      <c r="B64" s="547"/>
      <c r="C64" s="597"/>
      <c r="H64" s="668"/>
      <c r="L64" s="673"/>
      <c r="M64" s="674"/>
      <c r="N64" s="675"/>
      <c r="O64" s="695"/>
      <c r="P64" s="586">
        <f t="shared" si="2"/>
        <v>0</v>
      </c>
      <c r="U64" s="1200"/>
      <c r="V64" s="1201"/>
      <c r="W64" s="1202"/>
    </row>
    <row r="65" spans="2:23" ht="11.15" customHeight="1">
      <c r="B65" s="547"/>
      <c r="H65" s="668"/>
      <c r="L65" s="673"/>
      <c r="M65" s="679"/>
      <c r="N65" s="675"/>
      <c r="O65" s="695"/>
      <c r="P65" s="586">
        <f t="shared" si="2"/>
        <v>0</v>
      </c>
      <c r="U65" s="1200"/>
      <c r="V65" s="1201"/>
      <c r="W65" s="1202"/>
    </row>
    <row r="66" spans="2:23" ht="11.15" customHeight="1">
      <c r="B66" s="547"/>
      <c r="H66" s="668"/>
      <c r="M66" s="680">
        <f>SUM(M52:M65)</f>
        <v>0</v>
      </c>
      <c r="P66" s="596">
        <f>SUM(P52:P65)</f>
        <v>0</v>
      </c>
      <c r="U66" s="546"/>
      <c r="V66" s="547"/>
      <c r="W66" s="615"/>
    </row>
    <row r="67" spans="2:23" ht="11.15" customHeight="1">
      <c r="D67" s="606"/>
      <c r="E67" s="683"/>
      <c r="H67" s="668"/>
      <c r="U67" s="546"/>
      <c r="V67" s="547"/>
      <c r="W67" s="615"/>
    </row>
    <row r="68" spans="2:23" ht="11.15" customHeight="1">
      <c r="H68" s="668"/>
      <c r="O68" s="614" t="s">
        <v>176</v>
      </c>
      <c r="P68" s="581">
        <f>ROUND(P66/3.5,0)</f>
        <v>0</v>
      </c>
      <c r="U68" s="1200"/>
      <c r="V68" s="1201"/>
      <c r="W68" s="1202"/>
    </row>
    <row r="69" spans="2:23">
      <c r="H69" s="668"/>
      <c r="O69" s="614" t="s">
        <v>177</v>
      </c>
      <c r="P69" s="681"/>
      <c r="U69" s="546"/>
      <c r="V69" s="547"/>
      <c r="W69" s="615"/>
    </row>
    <row r="70" spans="2:23">
      <c r="O70" s="614" t="s">
        <v>175</v>
      </c>
      <c r="P70" s="681"/>
      <c r="U70" s="546"/>
      <c r="V70" s="547"/>
      <c r="W70" s="615"/>
    </row>
    <row r="71" spans="2:23" ht="10.5">
      <c r="P71" s="682">
        <f>IF(P70&gt;0,P70,SUM(P68:P69))</f>
        <v>0</v>
      </c>
      <c r="U71" s="546"/>
      <c r="V71" s="547"/>
      <c r="W71" s="615"/>
    </row>
    <row r="72" spans="2:23">
      <c r="B72" s="209"/>
      <c r="C72" s="209"/>
      <c r="D72" s="209"/>
      <c r="E72" s="209"/>
      <c r="F72" s="209"/>
      <c r="G72" s="209"/>
      <c r="H72" s="209"/>
      <c r="I72" s="209"/>
      <c r="J72" s="209"/>
      <c r="K72" s="642"/>
      <c r="L72" s="209"/>
      <c r="M72" s="642"/>
      <c r="N72" s="209"/>
      <c r="O72" s="642"/>
      <c r="P72" s="642"/>
      <c r="Q72" s="633"/>
      <c r="U72" s="546"/>
      <c r="V72" s="547"/>
      <c r="W72" s="615"/>
    </row>
    <row r="73" spans="2:23" ht="13">
      <c r="B73" s="643"/>
      <c r="C73" s="643"/>
      <c r="D73" s="643"/>
      <c r="E73" s="643"/>
      <c r="F73" s="643"/>
      <c r="G73" s="643"/>
      <c r="H73" s="644"/>
      <c r="I73" s="645"/>
      <c r="J73" s="645"/>
      <c r="K73" s="645"/>
      <c r="L73" s="646"/>
      <c r="M73" s="646"/>
      <c r="N73" s="646"/>
      <c r="O73" s="643"/>
      <c r="P73" s="646"/>
      <c r="Q73" s="647" t="str">
        <f>HAW!B28</f>
        <v>Kennwertverfahren NRW für HAW; HIS-Institut für Hochschulentwicklung e.V. (24.04.2026)</v>
      </c>
      <c r="U73" s="546"/>
      <c r="V73" s="547"/>
      <c r="W73" s="615"/>
    </row>
    <row r="74" spans="2:23">
      <c r="U74" s="546"/>
      <c r="V74" s="547"/>
      <c r="W74" s="615"/>
    </row>
    <row r="75" spans="2:23">
      <c r="U75" s="546"/>
      <c r="V75" s="547"/>
      <c r="W75" s="615"/>
    </row>
    <row r="76" spans="2:23" ht="10.5">
      <c r="B76" s="794" t="str">
        <f>B7</f>
        <v>Hochschule …</v>
      </c>
      <c r="C76" s="795"/>
      <c r="D76" s="795"/>
      <c r="E76" s="795"/>
      <c r="F76" s="795"/>
      <c r="G76" s="795"/>
      <c r="H76" s="795"/>
      <c r="I76" s="795"/>
      <c r="J76" s="796"/>
      <c r="K76" s="795"/>
      <c r="L76" s="796"/>
      <c r="M76" s="795"/>
      <c r="N76" s="796"/>
      <c r="O76" s="796"/>
      <c r="P76" s="796"/>
      <c r="Q76" s="796"/>
      <c r="R76" s="796"/>
      <c r="S76" s="796"/>
      <c r="U76" s="546"/>
      <c r="V76" s="547"/>
      <c r="W76" s="615"/>
    </row>
    <row r="77" spans="2:23">
      <c r="B77" s="795">
        <f>B8</f>
        <v>0</v>
      </c>
      <c r="C77" s="795"/>
      <c r="D77" s="795"/>
      <c r="E77" s="795"/>
      <c r="F77" s="795"/>
      <c r="G77" s="795"/>
      <c r="H77" s="795"/>
      <c r="I77" s="795"/>
      <c r="J77" s="796"/>
      <c r="K77" s="795"/>
      <c r="L77" s="796"/>
      <c r="M77" s="795"/>
      <c r="N77" s="796"/>
      <c r="O77" s="796"/>
      <c r="P77" s="796"/>
      <c r="Q77" s="796"/>
      <c r="R77" s="796"/>
      <c r="S77" s="796"/>
      <c r="U77" s="546"/>
      <c r="V77" s="547"/>
      <c r="W77" s="615"/>
    </row>
    <row r="78" spans="2:23" ht="10.5">
      <c r="B78" s="794" t="str">
        <f>B9</f>
        <v>Bibliothek</v>
      </c>
      <c r="C78" s="795"/>
      <c r="D78" s="795"/>
      <c r="E78" s="795"/>
      <c r="F78" s="795"/>
      <c r="G78" s="795"/>
      <c r="H78" s="795"/>
      <c r="I78" s="795"/>
      <c r="J78" s="796"/>
      <c r="K78" s="795"/>
      <c r="L78" s="796"/>
      <c r="M78" s="795"/>
      <c r="N78" s="796"/>
      <c r="O78" s="796"/>
      <c r="P78" s="796"/>
      <c r="Q78" s="796"/>
      <c r="R78" s="796"/>
      <c r="S78" s="796"/>
      <c r="U78" s="546"/>
      <c r="V78" s="547"/>
      <c r="W78" s="615"/>
    </row>
    <row r="79" spans="2:23">
      <c r="B79" s="795" t="str">
        <f>B10</f>
        <v>[Bereich, Standort]</v>
      </c>
      <c r="C79" s="795"/>
      <c r="D79" s="795"/>
      <c r="E79" s="795"/>
      <c r="F79" s="795"/>
      <c r="G79" s="795"/>
      <c r="H79" s="795"/>
      <c r="I79" s="795"/>
      <c r="J79" s="796"/>
      <c r="K79" s="795"/>
      <c r="L79" s="796"/>
      <c r="M79" s="795"/>
      <c r="N79" s="796"/>
      <c r="O79" s="796"/>
      <c r="P79" s="796"/>
      <c r="Q79" s="796"/>
      <c r="R79" s="796"/>
      <c r="S79" s="796"/>
      <c r="U79" s="546"/>
      <c r="V79" s="547"/>
      <c r="W79" s="615"/>
    </row>
    <row r="80" spans="2:23">
      <c r="B80" s="202"/>
      <c r="C80" s="202"/>
      <c r="D80" s="202"/>
      <c r="E80" s="202"/>
      <c r="F80" s="202"/>
      <c r="G80" s="202"/>
      <c r="H80" s="202"/>
      <c r="I80" s="202"/>
      <c r="J80" s="607"/>
      <c r="K80" s="202"/>
      <c r="L80" s="607"/>
      <c r="M80" s="202"/>
      <c r="N80" s="607"/>
      <c r="O80" s="607"/>
      <c r="P80" s="607"/>
      <c r="Q80" s="607"/>
      <c r="R80" s="607"/>
      <c r="S80" s="607"/>
      <c r="U80" s="546"/>
      <c r="V80" s="547"/>
      <c r="W80" s="615"/>
    </row>
    <row r="81" spans="2:23">
      <c r="B81" s="110" t="s">
        <v>274</v>
      </c>
      <c r="C81" s="206"/>
      <c r="D81" s="206"/>
      <c r="E81" s="206"/>
      <c r="F81" s="206"/>
      <c r="G81" s="206"/>
      <c r="H81" s="206"/>
      <c r="I81" s="206"/>
      <c r="J81" s="208"/>
      <c r="K81" s="206"/>
      <c r="L81" s="208"/>
      <c r="M81" s="206"/>
      <c r="N81" s="208"/>
      <c r="O81" s="208"/>
      <c r="P81" s="208"/>
      <c r="Q81" s="208"/>
      <c r="R81" s="208"/>
      <c r="S81" s="208"/>
      <c r="U81" s="546"/>
      <c r="V81" s="547"/>
      <c r="W81" s="615"/>
    </row>
    <row r="82" spans="2:23">
      <c r="B82" s="538"/>
      <c r="C82" s="539"/>
      <c r="D82" s="539"/>
      <c r="E82" s="539"/>
      <c r="F82" s="539"/>
      <c r="G82" s="539"/>
      <c r="H82" s="539"/>
      <c r="I82" s="539"/>
      <c r="J82" s="539"/>
      <c r="K82" s="539"/>
      <c r="L82" s="1176"/>
      <c r="M82" s="1176"/>
      <c r="N82" s="1176"/>
      <c r="O82" s="539"/>
      <c r="P82" s="1176"/>
      <c r="Q82" s="539"/>
      <c r="R82" s="539"/>
      <c r="S82" s="540"/>
      <c r="U82" s="546"/>
      <c r="V82" s="547"/>
      <c r="W82" s="615"/>
    </row>
    <row r="83" spans="2:23">
      <c r="B83" s="546"/>
      <c r="C83" s="547"/>
      <c r="D83" s="547"/>
      <c r="E83" s="547"/>
      <c r="F83" s="547"/>
      <c r="G83" s="547"/>
      <c r="H83" s="547"/>
      <c r="I83" s="547"/>
      <c r="J83" s="547"/>
      <c r="K83" s="547"/>
      <c r="L83" s="660"/>
      <c r="M83" s="547"/>
      <c r="N83" s="660"/>
      <c r="O83" s="547"/>
      <c r="P83" s="660"/>
      <c r="Q83" s="547"/>
      <c r="R83" s="547"/>
      <c r="S83" s="615"/>
      <c r="U83" s="546"/>
      <c r="V83" s="547"/>
      <c r="W83" s="615"/>
    </row>
    <row r="84" spans="2:23">
      <c r="B84" s="546"/>
      <c r="C84" s="547"/>
      <c r="D84" s="547"/>
      <c r="E84" s="547"/>
      <c r="F84" s="547"/>
      <c r="G84" s="547"/>
      <c r="H84" s="547"/>
      <c r="I84" s="547"/>
      <c r="J84" s="547"/>
      <c r="K84" s="547"/>
      <c r="L84" s="660"/>
      <c r="M84" s="857" t="s">
        <v>280</v>
      </c>
      <c r="N84" s="857" t="s">
        <v>27</v>
      </c>
      <c r="O84" s="547"/>
      <c r="P84" s="660"/>
      <c r="Q84" s="547"/>
      <c r="R84" s="547"/>
      <c r="S84" s="615"/>
      <c r="U84" s="1228"/>
      <c r="V84" s="1229"/>
      <c r="W84" s="1230"/>
    </row>
    <row r="85" spans="2:23" ht="10.5">
      <c r="B85" s="546"/>
      <c r="C85" s="547"/>
      <c r="D85" s="547"/>
      <c r="E85" s="547"/>
      <c r="F85" s="547"/>
      <c r="G85" s="547"/>
      <c r="H85" s="547"/>
      <c r="I85" s="547"/>
      <c r="J85" s="547"/>
      <c r="K85" s="547"/>
      <c r="L85" s="858" t="s">
        <v>169</v>
      </c>
      <c r="M85" s="859">
        <f>SUMIF(P$96:P$138,L85,M$96:M$138)</f>
        <v>0</v>
      </c>
      <c r="N85" s="860" t="str">
        <f>IFERROR(SUMIF(P$96:P$138,L85,O$96:O$138)/M85,"")</f>
        <v/>
      </c>
      <c r="O85" s="547"/>
      <c r="P85" s="660"/>
      <c r="Q85" s="547"/>
      <c r="R85" s="547"/>
      <c r="S85" s="615"/>
      <c r="U85" s="1200"/>
      <c r="V85" s="1201"/>
      <c r="W85" s="1202"/>
    </row>
    <row r="86" spans="2:23" ht="10.5">
      <c r="B86" s="546"/>
      <c r="C86" s="547"/>
      <c r="D86" s="547"/>
      <c r="E86" s="547"/>
      <c r="F86" s="547"/>
      <c r="G86" s="547"/>
      <c r="H86" s="547"/>
      <c r="I86" s="547"/>
      <c r="J86" s="547"/>
      <c r="K86" s="547"/>
      <c r="L86" s="858" t="s">
        <v>170</v>
      </c>
      <c r="M86" s="859">
        <f t="shared" ref="M86:M91" si="3">SUMIF(P$96:P$138,L86,M$96:M$138)</f>
        <v>0</v>
      </c>
      <c r="N86" s="860" t="str">
        <f t="shared" ref="N86:N91" si="4">IFERROR(SUMIF(P$96:P$138,L86,O$96:O$138)/M86,"")</f>
        <v/>
      </c>
      <c r="O86" s="547"/>
      <c r="P86" s="660"/>
      <c r="Q86" s="547"/>
      <c r="R86" s="547"/>
      <c r="S86" s="615"/>
      <c r="U86" s="1200"/>
      <c r="V86" s="1201"/>
      <c r="W86" s="1202"/>
    </row>
    <row r="87" spans="2:23" ht="10.5">
      <c r="B87" s="546"/>
      <c r="C87" s="547"/>
      <c r="D87" s="547"/>
      <c r="E87" s="547"/>
      <c r="F87" s="547"/>
      <c r="G87" s="547"/>
      <c r="H87" s="547"/>
      <c r="I87" s="547"/>
      <c r="J87" s="547"/>
      <c r="K87" s="547"/>
      <c r="L87" s="858" t="s">
        <v>21</v>
      </c>
      <c r="M87" s="859">
        <f t="shared" si="3"/>
        <v>0</v>
      </c>
      <c r="N87" s="860" t="str">
        <f t="shared" si="4"/>
        <v/>
      </c>
      <c r="O87" s="547"/>
      <c r="P87" s="660"/>
      <c r="Q87" s="547"/>
      <c r="R87" s="547"/>
      <c r="S87" s="615"/>
      <c r="U87" s="1200"/>
      <c r="V87" s="1201"/>
      <c r="W87" s="1202"/>
    </row>
    <row r="88" spans="2:23" ht="10.5">
      <c r="B88" s="546"/>
      <c r="C88" s="547"/>
      <c r="D88" s="547"/>
      <c r="E88" s="547"/>
      <c r="F88" s="547"/>
      <c r="G88" s="547"/>
      <c r="H88" s="547"/>
      <c r="I88" s="547"/>
      <c r="J88" s="547"/>
      <c r="K88" s="547"/>
      <c r="L88" s="858" t="s">
        <v>106</v>
      </c>
      <c r="M88" s="859">
        <f t="shared" si="3"/>
        <v>0</v>
      </c>
      <c r="N88" s="860" t="str">
        <f t="shared" si="4"/>
        <v/>
      </c>
      <c r="O88" s="547"/>
      <c r="P88" s="660"/>
      <c r="Q88" s="547"/>
      <c r="R88" s="547"/>
      <c r="S88" s="615"/>
      <c r="U88" s="1200"/>
      <c r="V88" s="1201"/>
      <c r="W88" s="1202"/>
    </row>
    <row r="89" spans="2:23" ht="10.5">
      <c r="B89" s="546"/>
      <c r="C89" s="547"/>
      <c r="D89" s="547"/>
      <c r="E89" s="547"/>
      <c r="F89" s="547"/>
      <c r="G89" s="547"/>
      <c r="H89" s="547"/>
      <c r="I89" s="547"/>
      <c r="J89" s="547"/>
      <c r="K89" s="547"/>
      <c r="L89" s="858" t="s">
        <v>107</v>
      </c>
      <c r="M89" s="859">
        <f t="shared" si="3"/>
        <v>0</v>
      </c>
      <c r="N89" s="860" t="str">
        <f t="shared" si="4"/>
        <v/>
      </c>
      <c r="O89" s="547"/>
      <c r="P89" s="660"/>
      <c r="Q89" s="547"/>
      <c r="R89" s="547"/>
      <c r="S89" s="615"/>
      <c r="U89" s="1200"/>
      <c r="V89" s="1201"/>
      <c r="W89" s="1202"/>
    </row>
    <row r="90" spans="2:23" ht="10.5">
      <c r="B90" s="546"/>
      <c r="C90" s="547"/>
      <c r="D90" s="547"/>
      <c r="E90" s="547"/>
      <c r="F90" s="547"/>
      <c r="G90" s="547"/>
      <c r="H90" s="547"/>
      <c r="I90" s="547"/>
      <c r="J90" s="547"/>
      <c r="K90" s="547"/>
      <c r="L90" s="858" t="s">
        <v>9</v>
      </c>
      <c r="M90" s="859">
        <f t="shared" si="3"/>
        <v>0</v>
      </c>
      <c r="N90" s="860" t="str">
        <f t="shared" si="4"/>
        <v/>
      </c>
      <c r="O90" s="547"/>
      <c r="P90" s="660"/>
      <c r="Q90" s="547"/>
      <c r="R90" s="547"/>
      <c r="S90" s="615"/>
      <c r="U90" s="1200"/>
      <c r="V90" s="1201"/>
      <c r="W90" s="1202"/>
    </row>
    <row r="91" spans="2:23" ht="10.5">
      <c r="B91" s="546"/>
      <c r="C91" s="547"/>
      <c r="D91" s="547"/>
      <c r="E91" s="547"/>
      <c r="F91" s="547"/>
      <c r="G91" s="547"/>
      <c r="H91" s="547"/>
      <c r="I91" s="547"/>
      <c r="J91" s="547"/>
      <c r="K91" s="547"/>
      <c r="L91" s="858" t="s">
        <v>10</v>
      </c>
      <c r="M91" s="859">
        <f t="shared" si="3"/>
        <v>0</v>
      </c>
      <c r="N91" s="860" t="str">
        <f t="shared" si="4"/>
        <v/>
      </c>
      <c r="O91" s="547"/>
      <c r="P91" s="660"/>
      <c r="Q91" s="547"/>
      <c r="R91" s="547"/>
      <c r="S91" s="615"/>
      <c r="U91" s="1200"/>
      <c r="V91" s="1201"/>
      <c r="W91" s="1202"/>
    </row>
    <row r="92" spans="2:23">
      <c r="B92" s="546"/>
      <c r="C92" s="547"/>
      <c r="D92" s="547"/>
      <c r="E92" s="547"/>
      <c r="F92" s="547"/>
      <c r="G92" s="547"/>
      <c r="H92" s="547"/>
      <c r="I92" s="547"/>
      <c r="J92" s="547"/>
      <c r="K92" s="547"/>
      <c r="L92" s="660"/>
      <c r="M92" s="660"/>
      <c r="N92" s="660"/>
      <c r="O92" s="547"/>
      <c r="P92" s="660"/>
      <c r="Q92" s="547"/>
      <c r="R92" s="547"/>
      <c r="S92" s="615"/>
      <c r="U92" s="546"/>
      <c r="V92" s="547"/>
      <c r="W92" s="615"/>
    </row>
    <row r="93" spans="2:23">
      <c r="B93" s="546"/>
      <c r="C93" s="547"/>
      <c r="D93" s="547"/>
      <c r="E93" s="547"/>
      <c r="F93" s="547"/>
      <c r="G93" s="547"/>
      <c r="H93" s="547"/>
      <c r="I93" s="547"/>
      <c r="J93" s="547"/>
      <c r="K93" s="547"/>
      <c r="L93" s="660"/>
      <c r="M93" s="660"/>
      <c r="N93" s="547"/>
      <c r="O93" s="547"/>
      <c r="P93" s="547"/>
      <c r="Q93" s="547"/>
      <c r="R93" s="547"/>
      <c r="S93" s="615"/>
      <c r="U93" s="546"/>
      <c r="V93" s="547"/>
      <c r="W93" s="615"/>
    </row>
    <row r="94" spans="2:23" ht="10.5">
      <c r="B94" s="546"/>
      <c r="C94" s="861"/>
      <c r="D94" s="861"/>
      <c r="E94" s="861"/>
      <c r="F94" s="861"/>
      <c r="G94" s="861"/>
      <c r="H94" s="861"/>
      <c r="I94" s="861"/>
      <c r="J94" s="861"/>
      <c r="K94" s="861"/>
      <c r="L94" s="861" t="s">
        <v>26</v>
      </c>
      <c r="M94" s="547"/>
      <c r="N94" s="862"/>
      <c r="O94" s="1177" t="s">
        <v>275</v>
      </c>
      <c r="P94" s="863"/>
      <c r="Q94" s="863"/>
      <c r="R94" s="863"/>
      <c r="S94" s="1178"/>
      <c r="U94" s="546"/>
      <c r="V94" s="547"/>
      <c r="W94" s="615"/>
    </row>
    <row r="95" spans="2:23" ht="10.5">
      <c r="B95" s="1179" t="s">
        <v>276</v>
      </c>
      <c r="C95" s="864"/>
      <c r="D95" s="864" t="s">
        <v>277</v>
      </c>
      <c r="E95" s="554"/>
      <c r="F95" s="864"/>
      <c r="G95" s="864"/>
      <c r="H95" s="864"/>
      <c r="I95" s="864"/>
      <c r="J95" s="864"/>
      <c r="K95" s="865" t="s">
        <v>60</v>
      </c>
      <c r="L95" s="865" t="s">
        <v>61</v>
      </c>
      <c r="M95" s="865" t="s">
        <v>278</v>
      </c>
      <c r="N95" s="866" t="s">
        <v>279</v>
      </c>
      <c r="O95" s="867" t="s">
        <v>280</v>
      </c>
      <c r="P95" s="868" t="s">
        <v>281</v>
      </c>
      <c r="Q95" s="869"/>
      <c r="R95" s="869"/>
      <c r="S95" s="1180"/>
      <c r="U95" s="546"/>
      <c r="V95" s="547"/>
      <c r="W95" s="615"/>
    </row>
    <row r="96" spans="2:23" ht="10.5">
      <c r="B96" s="1181" t="s">
        <v>282</v>
      </c>
      <c r="C96" s="547"/>
      <c r="D96" s="870" t="str">
        <f>CONCATENATE(Naturwiss!B9,", ",Naturwiss!B10)</f>
        <v>[Fakultät/Fachbereich], [Department, Institut o.a.]</v>
      </c>
      <c r="E96" s="547"/>
      <c r="F96" s="547"/>
      <c r="G96" s="547"/>
      <c r="H96" s="547"/>
      <c r="I96" s="547"/>
      <c r="J96" s="547"/>
      <c r="K96" s="871">
        <f>Naturwiss!E17</f>
        <v>0</v>
      </c>
      <c r="L96" s="871">
        <f>Naturwiss!E18</f>
        <v>0</v>
      </c>
      <c r="M96" s="859">
        <f>SUM(K96:L96)</f>
        <v>0</v>
      </c>
      <c r="N96" s="872">
        <f>Naturwiss!E19</f>
        <v>0</v>
      </c>
      <c r="O96" s="1182">
        <f>IF(N96&gt;1,0,M96*N96)</f>
        <v>0</v>
      </c>
      <c r="P96" s="873" t="s">
        <v>169</v>
      </c>
      <c r="Q96" s="863"/>
      <c r="R96" s="863"/>
      <c r="S96" s="1178"/>
      <c r="U96" s="1200"/>
      <c r="V96" s="1201"/>
      <c r="W96" s="1202"/>
    </row>
    <row r="97" spans="2:23" ht="10.5">
      <c r="B97" s="1181" t="s">
        <v>283</v>
      </c>
      <c r="C97" s="547"/>
      <c r="D97" s="870" t="str">
        <f>CONCATENATE(Mathe!B9,", ",Mathe!B10)</f>
        <v>[Fakultät/Fachbereich], [Department, Institut o.a.]</v>
      </c>
      <c r="E97" s="547"/>
      <c r="F97" s="547"/>
      <c r="G97" s="547"/>
      <c r="H97" s="547"/>
      <c r="I97" s="547"/>
      <c r="J97" s="547"/>
      <c r="K97" s="871">
        <f>Mathe!E17</f>
        <v>0</v>
      </c>
      <c r="L97" s="871">
        <f>Mathe!E18</f>
        <v>0</v>
      </c>
      <c r="M97" s="859">
        <f>SUM(K97:L97)</f>
        <v>0</v>
      </c>
      <c r="N97" s="872">
        <f>Mathe!E19</f>
        <v>0</v>
      </c>
      <c r="O97" s="1182">
        <f t="shared" ref="O97:O138" si="5">IF(N97&gt;1,0,M97*N97)</f>
        <v>0</v>
      </c>
      <c r="P97" s="873" t="s">
        <v>169</v>
      </c>
      <c r="Q97" s="863"/>
      <c r="R97" s="863"/>
      <c r="S97" s="1178"/>
      <c r="U97" s="1200"/>
      <c r="V97" s="1201"/>
      <c r="W97" s="1202"/>
    </row>
    <row r="98" spans="2:23" ht="10.5">
      <c r="B98" s="1181" t="s">
        <v>284</v>
      </c>
      <c r="C98" s="547"/>
      <c r="D98" s="870" t="str">
        <f>CONCATENATE(Arch!B9,", ",Arch!B10)</f>
        <v>[Fakultät/Fachbereich], [Department, Institut o.a.]</v>
      </c>
      <c r="E98" s="547"/>
      <c r="F98" s="547"/>
      <c r="G98" s="547"/>
      <c r="H98" s="547"/>
      <c r="I98" s="547"/>
      <c r="J98" s="547"/>
      <c r="K98" s="871">
        <f>Arch!E17</f>
        <v>0</v>
      </c>
      <c r="L98" s="871">
        <f>Arch!E18</f>
        <v>0</v>
      </c>
      <c r="M98" s="859">
        <f t="shared" ref="M98:M99" si="6">SUM(K98:L98)</f>
        <v>0</v>
      </c>
      <c r="N98" s="872">
        <f>Arch!E19</f>
        <v>0</v>
      </c>
      <c r="O98" s="1182">
        <f t="shared" si="5"/>
        <v>0</v>
      </c>
      <c r="P98" s="873" t="s">
        <v>170</v>
      </c>
      <c r="Q98" s="863"/>
      <c r="R98" s="863"/>
      <c r="S98" s="1178"/>
      <c r="U98" s="1200"/>
      <c r="V98" s="1201"/>
      <c r="W98" s="1202"/>
    </row>
    <row r="99" spans="2:23" ht="10.5">
      <c r="B99" s="1181" t="s">
        <v>285</v>
      </c>
      <c r="C99" s="547"/>
      <c r="D99" s="870" t="str">
        <f>CONCATENATE(Bauing!B9,", ",Bauing!B10)</f>
        <v>[Fakultät/Fachbereich], [Department, Institut o.a.]</v>
      </c>
      <c r="E99" s="547"/>
      <c r="F99" s="547"/>
      <c r="G99" s="547"/>
      <c r="H99" s="547"/>
      <c r="I99" s="547"/>
      <c r="J99" s="547"/>
      <c r="K99" s="871">
        <f>Bauing!E17</f>
        <v>0</v>
      </c>
      <c r="L99" s="871">
        <f>Bauing!E18</f>
        <v>0</v>
      </c>
      <c r="M99" s="859">
        <f t="shared" si="6"/>
        <v>0</v>
      </c>
      <c r="N99" s="872">
        <f>Bauing!E19</f>
        <v>0</v>
      </c>
      <c r="O99" s="1182">
        <f t="shared" si="5"/>
        <v>0</v>
      </c>
      <c r="P99" s="873" t="s">
        <v>170</v>
      </c>
      <c r="Q99" s="863"/>
      <c r="R99" s="863"/>
      <c r="S99" s="1178"/>
      <c r="U99" s="1200"/>
      <c r="V99" s="1201"/>
      <c r="W99" s="1202"/>
    </row>
    <row r="100" spans="2:23" ht="10.5">
      <c r="B100" s="1181" t="s">
        <v>286</v>
      </c>
      <c r="C100" s="547"/>
      <c r="D100" s="870" t="str">
        <f>CONCATENATE('E-I-Technik'!B9,", ",'E-I-Technik'!B10)</f>
        <v>[Fakultät/Fachbereich], [Department, Institut o.a.]</v>
      </c>
      <c r="E100" s="547"/>
      <c r="F100" s="547"/>
      <c r="G100" s="547"/>
      <c r="H100" s="547"/>
      <c r="I100" s="547"/>
      <c r="J100" s="547"/>
      <c r="K100" s="871">
        <f>'E-I-Technik'!E17</f>
        <v>0</v>
      </c>
      <c r="L100" s="871">
        <f>'E-I-Technik'!E18</f>
        <v>0</v>
      </c>
      <c r="M100" s="859">
        <f t="shared" ref="M100:M108" si="7">SUM(K100:L100)</f>
        <v>0</v>
      </c>
      <c r="N100" s="872">
        <f>'E-I-Technik'!E19</f>
        <v>0</v>
      </c>
      <c r="O100" s="1182">
        <f t="shared" si="5"/>
        <v>0</v>
      </c>
      <c r="P100" s="873" t="s">
        <v>170</v>
      </c>
      <c r="Q100" s="863"/>
      <c r="R100" s="863"/>
      <c r="S100" s="1178"/>
      <c r="U100" s="1200"/>
      <c r="V100" s="1201"/>
      <c r="W100" s="1202"/>
    </row>
    <row r="101" spans="2:23" ht="10.5">
      <c r="B101" s="1181" t="s">
        <v>6</v>
      </c>
      <c r="C101" s="547"/>
      <c r="D101" s="870" t="str">
        <f>CONCATENATE(Informatik!B9,", ",Informatik!B10)</f>
        <v>[Fakultät/Fachbereich], [Department, Institut o.a.]</v>
      </c>
      <c r="E101" s="547"/>
      <c r="F101" s="547"/>
      <c r="G101" s="547"/>
      <c r="H101" s="547"/>
      <c r="I101" s="547"/>
      <c r="J101" s="547"/>
      <c r="K101" s="871">
        <f>Informatik!E17</f>
        <v>0</v>
      </c>
      <c r="L101" s="871">
        <f>Informatik!E18</f>
        <v>0</v>
      </c>
      <c r="M101" s="859">
        <f t="shared" si="7"/>
        <v>0</v>
      </c>
      <c r="N101" s="872">
        <f>Informatik!E19</f>
        <v>0</v>
      </c>
      <c r="O101" s="1182">
        <f t="shared" si="5"/>
        <v>0</v>
      </c>
      <c r="P101" s="873" t="s">
        <v>170</v>
      </c>
      <c r="Q101" s="863"/>
      <c r="R101" s="863"/>
      <c r="S101" s="1178"/>
      <c r="U101" s="1200"/>
      <c r="V101" s="1201"/>
      <c r="W101" s="1202"/>
    </row>
    <row r="102" spans="2:23" ht="10.5">
      <c r="B102" s="1181" t="s">
        <v>287</v>
      </c>
      <c r="C102" s="547"/>
      <c r="D102" s="870" t="str">
        <f>CONCATENATE(Maschbau!B9,", ",Maschbau!B10)</f>
        <v>[Fakultät/Fachbereich], [Department, Institut o.a.]</v>
      </c>
      <c r="E102" s="547"/>
      <c r="F102" s="547"/>
      <c r="G102" s="547"/>
      <c r="H102" s="547"/>
      <c r="I102" s="547"/>
      <c r="J102" s="547"/>
      <c r="K102" s="871">
        <f>Maschbau!E17</f>
        <v>0</v>
      </c>
      <c r="L102" s="871">
        <f>Maschbau!E18</f>
        <v>0</v>
      </c>
      <c r="M102" s="859">
        <f t="shared" si="7"/>
        <v>0</v>
      </c>
      <c r="N102" s="872">
        <f>Maschbau!E19</f>
        <v>0</v>
      </c>
      <c r="O102" s="1182">
        <f t="shared" si="5"/>
        <v>0</v>
      </c>
      <c r="P102" s="873" t="s">
        <v>170</v>
      </c>
      <c r="Q102" s="863"/>
      <c r="R102" s="863"/>
      <c r="S102" s="1178"/>
      <c r="U102" s="1200"/>
      <c r="V102" s="1201"/>
      <c r="W102" s="1202"/>
    </row>
    <row r="103" spans="2:23" ht="10.5">
      <c r="B103" s="1183" t="s">
        <v>288</v>
      </c>
      <c r="C103" s="633"/>
      <c r="D103" s="874" t="str">
        <f>CONCATENATE('Wi-ing'!B9,", ",'Wi-ing'!B10)</f>
        <v>[Fakultät/Fachbereich], [Department, Institut o.a.]</v>
      </c>
      <c r="E103" s="633"/>
      <c r="F103" s="633"/>
      <c r="G103" s="633"/>
      <c r="H103" s="633"/>
      <c r="I103" s="633"/>
      <c r="J103" s="633"/>
      <c r="K103" s="875">
        <f>'Wi-ing'!E17</f>
        <v>0</v>
      </c>
      <c r="L103" s="875">
        <f>'Wi-ing'!E18</f>
        <v>0</v>
      </c>
      <c r="M103" s="876">
        <f t="shared" si="7"/>
        <v>0</v>
      </c>
      <c r="N103" s="877">
        <f>'Wi-ing'!E19</f>
        <v>0</v>
      </c>
      <c r="O103" s="1182">
        <f t="shared" si="5"/>
        <v>0</v>
      </c>
      <c r="P103" s="873" t="s">
        <v>170</v>
      </c>
      <c r="Q103" s="863"/>
      <c r="R103" s="863"/>
      <c r="S103" s="1178"/>
      <c r="U103" s="1200"/>
      <c r="V103" s="1201"/>
      <c r="W103" s="1202"/>
    </row>
    <row r="104" spans="2:23" ht="10.5">
      <c r="B104" s="1181" t="s">
        <v>21</v>
      </c>
      <c r="C104" s="547"/>
      <c r="D104" s="870" t="str">
        <f>CONCATENATE(Design!B9,", ",Design!B10)</f>
        <v>[Fakultät/Fachbereich], [Department, Institut o.a.]</v>
      </c>
      <c r="E104" s="547"/>
      <c r="F104" s="547"/>
      <c r="G104" s="547"/>
      <c r="H104" s="547"/>
      <c r="I104" s="547"/>
      <c r="J104" s="547"/>
      <c r="K104" s="871">
        <f>Design!E17</f>
        <v>0</v>
      </c>
      <c r="L104" s="871">
        <f>Design!E18</f>
        <v>0</v>
      </c>
      <c r="M104" s="859">
        <f t="shared" si="7"/>
        <v>0</v>
      </c>
      <c r="N104" s="872">
        <f>Design!E19</f>
        <v>0</v>
      </c>
      <c r="O104" s="1182">
        <f t="shared" si="5"/>
        <v>0</v>
      </c>
      <c r="P104" s="873" t="s">
        <v>21</v>
      </c>
      <c r="Q104" s="863"/>
      <c r="R104" s="863"/>
      <c r="S104" s="1178"/>
      <c r="U104" s="1200"/>
      <c r="V104" s="1201"/>
      <c r="W104" s="1202"/>
    </row>
    <row r="105" spans="2:23" ht="10.5">
      <c r="B105" s="1181" t="s">
        <v>289</v>
      </c>
      <c r="C105" s="547"/>
      <c r="D105" s="870" t="str">
        <f>CONCATENATE(Ernährung!B9,", ",Ernährung!B10)</f>
        <v>[Fakultät/Fachbereich], [Department, Institut o.a.]</v>
      </c>
      <c r="E105" s="547"/>
      <c r="F105" s="547"/>
      <c r="G105" s="547"/>
      <c r="H105" s="547"/>
      <c r="I105" s="547"/>
      <c r="J105" s="547"/>
      <c r="K105" s="871">
        <f>Ernährung!E17</f>
        <v>0</v>
      </c>
      <c r="L105" s="871">
        <f>Ernährung!E18</f>
        <v>0</v>
      </c>
      <c r="M105" s="859">
        <f t="shared" si="7"/>
        <v>0</v>
      </c>
      <c r="N105" s="872">
        <f>Ernährung!E19</f>
        <v>0</v>
      </c>
      <c r="O105" s="1182">
        <f t="shared" si="5"/>
        <v>0</v>
      </c>
      <c r="P105" s="873" t="s">
        <v>106</v>
      </c>
      <c r="Q105" s="863"/>
      <c r="R105" s="863"/>
      <c r="S105" s="1178"/>
      <c r="U105" s="1200"/>
      <c r="V105" s="1201"/>
      <c r="W105" s="1202"/>
    </row>
    <row r="106" spans="2:23" ht="10.5">
      <c r="B106" s="1181" t="s">
        <v>290</v>
      </c>
      <c r="C106" s="547"/>
      <c r="D106" s="870" t="str">
        <f>CONCATENATE(Gesund!B9,", ",Gesund!B10)</f>
        <v>[Fakultät/Fachbereich], [Department, Institut o.a.]</v>
      </c>
      <c r="E106" s="547"/>
      <c r="F106" s="547"/>
      <c r="G106" s="547"/>
      <c r="H106" s="547"/>
      <c r="I106" s="547"/>
      <c r="J106" s="547"/>
      <c r="K106" s="871">
        <f>Gesund!E17</f>
        <v>0</v>
      </c>
      <c r="L106" s="871">
        <f>Gesund!E18</f>
        <v>0</v>
      </c>
      <c r="M106" s="859">
        <f t="shared" si="7"/>
        <v>0</v>
      </c>
      <c r="N106" s="872">
        <f>Gesund!E19</f>
        <v>0</v>
      </c>
      <c r="O106" s="1182">
        <f t="shared" si="5"/>
        <v>0</v>
      </c>
      <c r="P106" s="873" t="s">
        <v>107</v>
      </c>
      <c r="Q106" s="863"/>
      <c r="R106" s="863"/>
      <c r="S106" s="1178"/>
      <c r="U106" s="1200"/>
      <c r="V106" s="1201"/>
      <c r="W106" s="1202"/>
    </row>
    <row r="107" spans="2:23" ht="10.5">
      <c r="B107" s="1181" t="s">
        <v>291</v>
      </c>
      <c r="C107" s="547"/>
      <c r="D107" s="870" t="str">
        <f>CONCATENATE(Sowi!B9,", ",Sowi!B10)</f>
        <v>[Fakultät/Fachbereich], [Department, Institut o.a.]</v>
      </c>
      <c r="E107" s="547"/>
      <c r="F107" s="547"/>
      <c r="G107" s="547"/>
      <c r="H107" s="547"/>
      <c r="I107" s="547"/>
      <c r="J107" s="547"/>
      <c r="K107" s="871">
        <f>Sowi!E17</f>
        <v>0</v>
      </c>
      <c r="L107" s="871">
        <f>Sowi!E18</f>
        <v>0</v>
      </c>
      <c r="M107" s="859">
        <f t="shared" si="7"/>
        <v>0</v>
      </c>
      <c r="N107" s="872">
        <f>Sowi!E19</f>
        <v>0</v>
      </c>
      <c r="O107" s="1182">
        <f t="shared" si="5"/>
        <v>0</v>
      </c>
      <c r="P107" s="873" t="s">
        <v>9</v>
      </c>
      <c r="Q107" s="863"/>
      <c r="R107" s="863"/>
      <c r="S107" s="1178"/>
      <c r="U107" s="1200"/>
      <c r="V107" s="1201"/>
      <c r="W107" s="1202"/>
    </row>
    <row r="108" spans="2:23" ht="10.5">
      <c r="B108" s="1183" t="s">
        <v>292</v>
      </c>
      <c r="C108" s="633"/>
      <c r="D108" s="874" t="str">
        <f>CONCATENATE(Wiwi!B9,", ",Wiwi!B10)</f>
        <v>[Fakultät/Fachbereich], [Department, Institut o.a.]</v>
      </c>
      <c r="E108" s="633"/>
      <c r="F108" s="633"/>
      <c r="G108" s="633"/>
      <c r="H108" s="633"/>
      <c r="I108" s="633"/>
      <c r="J108" s="633"/>
      <c r="K108" s="875">
        <f>Wiwi!E17</f>
        <v>0</v>
      </c>
      <c r="L108" s="875">
        <f>Wiwi!E18</f>
        <v>0</v>
      </c>
      <c r="M108" s="876">
        <f t="shared" si="7"/>
        <v>0</v>
      </c>
      <c r="N108" s="877">
        <f>Wiwi!E19</f>
        <v>0</v>
      </c>
      <c r="O108" s="1182">
        <f t="shared" si="5"/>
        <v>0</v>
      </c>
      <c r="P108" s="873" t="s">
        <v>10</v>
      </c>
      <c r="Q108" s="863"/>
      <c r="R108" s="863"/>
      <c r="S108" s="1178"/>
      <c r="U108" s="1200"/>
      <c r="V108" s="1201"/>
      <c r="W108" s="1202"/>
    </row>
    <row r="109" spans="2:23" ht="10.5">
      <c r="B109" s="1181"/>
      <c r="C109" s="547"/>
      <c r="D109" s="873"/>
      <c r="E109" s="863"/>
      <c r="F109" s="863"/>
      <c r="G109" s="863"/>
      <c r="H109" s="863"/>
      <c r="I109" s="863"/>
      <c r="J109" s="547"/>
      <c r="K109" s="878"/>
      <c r="L109" s="878"/>
      <c r="M109" s="859">
        <f t="shared" ref="M109:M138" si="8">SUM(K109:L109)</f>
        <v>0</v>
      </c>
      <c r="N109" s="879"/>
      <c r="O109" s="1182">
        <f t="shared" si="5"/>
        <v>0</v>
      </c>
      <c r="P109" s="873"/>
      <c r="Q109" s="863"/>
      <c r="R109" s="863"/>
      <c r="S109" s="1178"/>
      <c r="U109" s="1200"/>
      <c r="V109" s="1201"/>
      <c r="W109" s="1202"/>
    </row>
    <row r="110" spans="2:23" ht="10.5">
      <c r="B110" s="1181"/>
      <c r="C110" s="547"/>
      <c r="D110" s="873"/>
      <c r="E110" s="863"/>
      <c r="F110" s="863"/>
      <c r="G110" s="863"/>
      <c r="H110" s="863"/>
      <c r="I110" s="863"/>
      <c r="J110" s="547"/>
      <c r="K110" s="878"/>
      <c r="L110" s="878"/>
      <c r="M110" s="859">
        <f t="shared" si="8"/>
        <v>0</v>
      </c>
      <c r="N110" s="879"/>
      <c r="O110" s="1182">
        <f t="shared" si="5"/>
        <v>0</v>
      </c>
      <c r="P110" s="873"/>
      <c r="Q110" s="863"/>
      <c r="R110" s="863"/>
      <c r="S110" s="1178"/>
      <c r="U110" s="1200"/>
      <c r="V110" s="1201"/>
      <c r="W110" s="1202"/>
    </row>
    <row r="111" spans="2:23" ht="10.5">
      <c r="B111" s="1181"/>
      <c r="C111" s="547"/>
      <c r="D111" s="873"/>
      <c r="E111" s="863"/>
      <c r="F111" s="863"/>
      <c r="G111" s="863"/>
      <c r="H111" s="863"/>
      <c r="I111" s="863"/>
      <c r="J111" s="547"/>
      <c r="K111" s="878"/>
      <c r="L111" s="878"/>
      <c r="M111" s="859">
        <f t="shared" si="8"/>
        <v>0</v>
      </c>
      <c r="N111" s="879"/>
      <c r="O111" s="1182">
        <f t="shared" si="5"/>
        <v>0</v>
      </c>
      <c r="P111" s="873"/>
      <c r="Q111" s="863"/>
      <c r="R111" s="863"/>
      <c r="S111" s="1178"/>
      <c r="U111" s="1200"/>
      <c r="V111" s="1201"/>
      <c r="W111" s="1202"/>
    </row>
    <row r="112" spans="2:23" ht="10.5">
      <c r="B112" s="1181"/>
      <c r="C112" s="547"/>
      <c r="D112" s="873"/>
      <c r="E112" s="863"/>
      <c r="F112" s="863"/>
      <c r="G112" s="863"/>
      <c r="H112" s="863"/>
      <c r="I112" s="863"/>
      <c r="J112" s="547"/>
      <c r="K112" s="878"/>
      <c r="L112" s="878"/>
      <c r="M112" s="859">
        <f t="shared" si="8"/>
        <v>0</v>
      </c>
      <c r="N112" s="879"/>
      <c r="O112" s="1182">
        <f t="shared" si="5"/>
        <v>0</v>
      </c>
      <c r="P112" s="873"/>
      <c r="Q112" s="863"/>
      <c r="R112" s="863"/>
      <c r="S112" s="1178"/>
      <c r="U112" s="1200"/>
      <c r="V112" s="1201"/>
      <c r="W112" s="1202"/>
    </row>
    <row r="113" spans="2:23" ht="10.5">
      <c r="B113" s="1181"/>
      <c r="C113" s="547"/>
      <c r="D113" s="873"/>
      <c r="E113" s="863"/>
      <c r="F113" s="863"/>
      <c r="G113" s="863"/>
      <c r="H113" s="863"/>
      <c r="I113" s="863"/>
      <c r="J113" s="547"/>
      <c r="K113" s="878"/>
      <c r="L113" s="878"/>
      <c r="M113" s="859">
        <f t="shared" si="8"/>
        <v>0</v>
      </c>
      <c r="N113" s="879"/>
      <c r="O113" s="1182">
        <f t="shared" si="5"/>
        <v>0</v>
      </c>
      <c r="P113" s="873"/>
      <c r="Q113" s="863"/>
      <c r="R113" s="863"/>
      <c r="S113" s="1178"/>
      <c r="U113" s="1200"/>
      <c r="V113" s="1201"/>
      <c r="W113" s="1202"/>
    </row>
    <row r="114" spans="2:23" ht="10.5">
      <c r="B114" s="1181"/>
      <c r="C114" s="547"/>
      <c r="D114" s="873"/>
      <c r="E114" s="863"/>
      <c r="F114" s="863"/>
      <c r="G114" s="863"/>
      <c r="H114" s="863"/>
      <c r="I114" s="863"/>
      <c r="J114" s="547"/>
      <c r="K114" s="878"/>
      <c r="L114" s="878"/>
      <c r="M114" s="859">
        <f t="shared" si="8"/>
        <v>0</v>
      </c>
      <c r="N114" s="879"/>
      <c r="O114" s="1182">
        <f t="shared" si="5"/>
        <v>0</v>
      </c>
      <c r="P114" s="873"/>
      <c r="Q114" s="863"/>
      <c r="R114" s="863"/>
      <c r="S114" s="1178"/>
      <c r="U114" s="1200"/>
      <c r="V114" s="1201"/>
      <c r="W114" s="1202"/>
    </row>
    <row r="115" spans="2:23" ht="10.5">
      <c r="B115" s="1181"/>
      <c r="C115" s="547"/>
      <c r="D115" s="873"/>
      <c r="E115" s="863"/>
      <c r="F115" s="863"/>
      <c r="G115" s="863"/>
      <c r="H115" s="863"/>
      <c r="I115" s="863"/>
      <c r="J115" s="547"/>
      <c r="K115" s="878"/>
      <c r="L115" s="878"/>
      <c r="M115" s="859">
        <f t="shared" si="8"/>
        <v>0</v>
      </c>
      <c r="N115" s="879"/>
      <c r="O115" s="1182">
        <f t="shared" si="5"/>
        <v>0</v>
      </c>
      <c r="P115" s="873"/>
      <c r="Q115" s="863"/>
      <c r="R115" s="863"/>
      <c r="S115" s="1178"/>
      <c r="U115" s="1200"/>
      <c r="V115" s="1201"/>
      <c r="W115" s="1202"/>
    </row>
    <row r="116" spans="2:23" ht="10.5">
      <c r="B116" s="1181"/>
      <c r="C116" s="547"/>
      <c r="D116" s="873"/>
      <c r="E116" s="863"/>
      <c r="F116" s="863"/>
      <c r="G116" s="863"/>
      <c r="H116" s="863"/>
      <c r="I116" s="863"/>
      <c r="J116" s="547"/>
      <c r="K116" s="878"/>
      <c r="L116" s="878"/>
      <c r="M116" s="859">
        <f t="shared" si="8"/>
        <v>0</v>
      </c>
      <c r="N116" s="879"/>
      <c r="O116" s="1182">
        <f t="shared" si="5"/>
        <v>0</v>
      </c>
      <c r="P116" s="873"/>
      <c r="Q116" s="863"/>
      <c r="R116" s="863"/>
      <c r="S116" s="1178"/>
      <c r="U116" s="1200"/>
      <c r="V116" s="1201"/>
      <c r="W116" s="1202"/>
    </row>
    <row r="117" spans="2:23" ht="10.5">
      <c r="B117" s="1181"/>
      <c r="C117" s="547"/>
      <c r="D117" s="873"/>
      <c r="E117" s="863"/>
      <c r="F117" s="863"/>
      <c r="G117" s="863"/>
      <c r="H117" s="863"/>
      <c r="I117" s="863"/>
      <c r="J117" s="547"/>
      <c r="K117" s="878"/>
      <c r="L117" s="878"/>
      <c r="M117" s="859">
        <f t="shared" si="8"/>
        <v>0</v>
      </c>
      <c r="N117" s="879"/>
      <c r="O117" s="1182">
        <f t="shared" si="5"/>
        <v>0</v>
      </c>
      <c r="P117" s="873"/>
      <c r="Q117" s="863"/>
      <c r="R117" s="863"/>
      <c r="S117" s="1178"/>
      <c r="U117" s="1200"/>
      <c r="V117" s="1201"/>
      <c r="W117" s="1202"/>
    </row>
    <row r="118" spans="2:23" ht="10.5">
      <c r="B118" s="1181"/>
      <c r="C118" s="547"/>
      <c r="D118" s="873"/>
      <c r="E118" s="863"/>
      <c r="F118" s="863"/>
      <c r="G118" s="863"/>
      <c r="H118" s="863"/>
      <c r="I118" s="863"/>
      <c r="J118" s="547"/>
      <c r="K118" s="878"/>
      <c r="L118" s="878"/>
      <c r="M118" s="859">
        <f t="shared" si="8"/>
        <v>0</v>
      </c>
      <c r="N118" s="879"/>
      <c r="O118" s="1182">
        <f t="shared" si="5"/>
        <v>0</v>
      </c>
      <c r="P118" s="873"/>
      <c r="Q118" s="863"/>
      <c r="R118" s="863"/>
      <c r="S118" s="1178"/>
      <c r="U118" s="1200"/>
      <c r="V118" s="1201"/>
      <c r="W118" s="1202"/>
    </row>
    <row r="119" spans="2:23" ht="10.5">
      <c r="B119" s="1181"/>
      <c r="C119" s="547"/>
      <c r="D119" s="873"/>
      <c r="E119" s="863"/>
      <c r="F119" s="863"/>
      <c r="G119" s="863"/>
      <c r="H119" s="863"/>
      <c r="I119" s="863"/>
      <c r="J119" s="547"/>
      <c r="K119" s="878"/>
      <c r="L119" s="878"/>
      <c r="M119" s="859">
        <f t="shared" si="8"/>
        <v>0</v>
      </c>
      <c r="N119" s="879"/>
      <c r="O119" s="1182">
        <f t="shared" si="5"/>
        <v>0</v>
      </c>
      <c r="P119" s="873"/>
      <c r="Q119" s="863"/>
      <c r="R119" s="863"/>
      <c r="S119" s="1178"/>
      <c r="U119" s="1200"/>
      <c r="V119" s="1201"/>
      <c r="W119" s="1202"/>
    </row>
    <row r="120" spans="2:23" ht="10.5">
      <c r="B120" s="1181"/>
      <c r="C120" s="547"/>
      <c r="D120" s="873"/>
      <c r="E120" s="863"/>
      <c r="F120" s="863"/>
      <c r="G120" s="863"/>
      <c r="H120" s="863"/>
      <c r="I120" s="863"/>
      <c r="J120" s="547"/>
      <c r="K120" s="878"/>
      <c r="L120" s="878"/>
      <c r="M120" s="859">
        <f t="shared" si="8"/>
        <v>0</v>
      </c>
      <c r="N120" s="879"/>
      <c r="O120" s="1182">
        <f t="shared" si="5"/>
        <v>0</v>
      </c>
      <c r="P120" s="873"/>
      <c r="Q120" s="863"/>
      <c r="R120" s="863"/>
      <c r="S120" s="1178"/>
      <c r="U120" s="1200"/>
      <c r="V120" s="1201"/>
      <c r="W120" s="1202"/>
    </row>
    <row r="121" spans="2:23" ht="10.5">
      <c r="B121" s="1181"/>
      <c r="C121" s="547"/>
      <c r="D121" s="873"/>
      <c r="E121" s="863"/>
      <c r="F121" s="863"/>
      <c r="G121" s="863"/>
      <c r="H121" s="863"/>
      <c r="I121" s="863"/>
      <c r="J121" s="547"/>
      <c r="K121" s="878"/>
      <c r="L121" s="878"/>
      <c r="M121" s="859">
        <f t="shared" si="8"/>
        <v>0</v>
      </c>
      <c r="N121" s="879"/>
      <c r="O121" s="1182">
        <f t="shared" si="5"/>
        <v>0</v>
      </c>
      <c r="P121" s="873"/>
      <c r="Q121" s="863"/>
      <c r="R121" s="863"/>
      <c r="S121" s="1178"/>
      <c r="U121" s="1200"/>
      <c r="V121" s="1201"/>
      <c r="W121" s="1202"/>
    </row>
    <row r="122" spans="2:23" ht="10.5">
      <c r="B122" s="1181"/>
      <c r="C122" s="547"/>
      <c r="D122" s="873"/>
      <c r="E122" s="863"/>
      <c r="F122" s="863"/>
      <c r="G122" s="863"/>
      <c r="H122" s="863"/>
      <c r="I122" s="863"/>
      <c r="J122" s="547"/>
      <c r="K122" s="878"/>
      <c r="L122" s="878"/>
      <c r="M122" s="859">
        <f t="shared" si="8"/>
        <v>0</v>
      </c>
      <c r="N122" s="879"/>
      <c r="O122" s="1182">
        <f t="shared" si="5"/>
        <v>0</v>
      </c>
      <c r="P122" s="873"/>
      <c r="Q122" s="863"/>
      <c r="R122" s="863"/>
      <c r="S122" s="1178"/>
      <c r="U122" s="1200"/>
      <c r="V122" s="1201"/>
      <c r="W122" s="1202"/>
    </row>
    <row r="123" spans="2:23" ht="10.5">
      <c r="B123" s="1181"/>
      <c r="C123" s="547"/>
      <c r="D123" s="873"/>
      <c r="E123" s="863"/>
      <c r="F123" s="863"/>
      <c r="G123" s="863"/>
      <c r="H123" s="863"/>
      <c r="I123" s="863"/>
      <c r="J123" s="547"/>
      <c r="K123" s="878"/>
      <c r="L123" s="878"/>
      <c r="M123" s="859">
        <f t="shared" si="8"/>
        <v>0</v>
      </c>
      <c r="N123" s="879"/>
      <c r="O123" s="1182">
        <f t="shared" si="5"/>
        <v>0</v>
      </c>
      <c r="P123" s="873"/>
      <c r="Q123" s="863"/>
      <c r="R123" s="863"/>
      <c r="S123" s="1178"/>
      <c r="U123" s="1200"/>
      <c r="V123" s="1201"/>
      <c r="W123" s="1202"/>
    </row>
    <row r="124" spans="2:23" ht="10.5">
      <c r="B124" s="1181"/>
      <c r="C124" s="547"/>
      <c r="D124" s="873"/>
      <c r="E124" s="863"/>
      <c r="F124" s="863"/>
      <c r="G124" s="863"/>
      <c r="H124" s="863"/>
      <c r="I124" s="863"/>
      <c r="J124" s="547"/>
      <c r="K124" s="878"/>
      <c r="L124" s="878"/>
      <c r="M124" s="859">
        <f t="shared" si="8"/>
        <v>0</v>
      </c>
      <c r="N124" s="879"/>
      <c r="O124" s="1182">
        <f t="shared" si="5"/>
        <v>0</v>
      </c>
      <c r="P124" s="873"/>
      <c r="Q124" s="863"/>
      <c r="R124" s="863"/>
      <c r="S124" s="1178"/>
      <c r="U124" s="1200"/>
      <c r="V124" s="1201"/>
      <c r="W124" s="1202"/>
    </row>
    <row r="125" spans="2:23" ht="10.5">
      <c r="B125" s="1181"/>
      <c r="C125" s="547"/>
      <c r="D125" s="873"/>
      <c r="E125" s="863"/>
      <c r="F125" s="863"/>
      <c r="G125" s="863"/>
      <c r="H125" s="863"/>
      <c r="I125" s="863"/>
      <c r="J125" s="547"/>
      <c r="K125" s="878"/>
      <c r="L125" s="878"/>
      <c r="M125" s="859">
        <f t="shared" si="8"/>
        <v>0</v>
      </c>
      <c r="N125" s="879"/>
      <c r="O125" s="1182">
        <f t="shared" si="5"/>
        <v>0</v>
      </c>
      <c r="P125" s="873"/>
      <c r="Q125" s="863"/>
      <c r="R125" s="863"/>
      <c r="S125" s="1178"/>
      <c r="U125" s="1200"/>
      <c r="V125" s="1201"/>
      <c r="W125" s="1202"/>
    </row>
    <row r="126" spans="2:23" ht="10.5">
      <c r="B126" s="1181"/>
      <c r="C126" s="547"/>
      <c r="D126" s="873"/>
      <c r="E126" s="863"/>
      <c r="F126" s="863"/>
      <c r="G126" s="863"/>
      <c r="H126" s="863"/>
      <c r="I126" s="863"/>
      <c r="J126" s="547"/>
      <c r="K126" s="878"/>
      <c r="L126" s="878"/>
      <c r="M126" s="859">
        <f t="shared" si="8"/>
        <v>0</v>
      </c>
      <c r="N126" s="879"/>
      <c r="O126" s="1182">
        <f t="shared" si="5"/>
        <v>0</v>
      </c>
      <c r="P126" s="873"/>
      <c r="Q126" s="863"/>
      <c r="R126" s="863"/>
      <c r="S126" s="1178"/>
      <c r="U126" s="1200"/>
      <c r="V126" s="1201"/>
      <c r="W126" s="1202"/>
    </row>
    <row r="127" spans="2:23" ht="10.5">
      <c r="B127" s="1181"/>
      <c r="C127" s="547"/>
      <c r="D127" s="873"/>
      <c r="E127" s="863"/>
      <c r="F127" s="863"/>
      <c r="G127" s="863"/>
      <c r="H127" s="863"/>
      <c r="I127" s="863"/>
      <c r="J127" s="547"/>
      <c r="K127" s="878"/>
      <c r="L127" s="878"/>
      <c r="M127" s="859">
        <f t="shared" si="8"/>
        <v>0</v>
      </c>
      <c r="N127" s="879"/>
      <c r="O127" s="1182">
        <f t="shared" si="5"/>
        <v>0</v>
      </c>
      <c r="P127" s="873"/>
      <c r="Q127" s="863"/>
      <c r="R127" s="863"/>
      <c r="S127" s="1178"/>
      <c r="U127" s="1200"/>
      <c r="V127" s="1201"/>
      <c r="W127" s="1202"/>
    </row>
    <row r="128" spans="2:23" ht="10.5">
      <c r="B128" s="1181"/>
      <c r="C128" s="547"/>
      <c r="D128" s="873"/>
      <c r="E128" s="863"/>
      <c r="F128" s="863"/>
      <c r="G128" s="863"/>
      <c r="H128" s="863"/>
      <c r="I128" s="863"/>
      <c r="J128" s="547"/>
      <c r="K128" s="878"/>
      <c r="L128" s="878"/>
      <c r="M128" s="859">
        <f t="shared" si="8"/>
        <v>0</v>
      </c>
      <c r="N128" s="879"/>
      <c r="O128" s="1182">
        <f t="shared" si="5"/>
        <v>0</v>
      </c>
      <c r="P128" s="873"/>
      <c r="Q128" s="863"/>
      <c r="R128" s="863"/>
      <c r="S128" s="1178"/>
      <c r="U128" s="1200"/>
      <c r="V128" s="1201"/>
      <c r="W128" s="1202"/>
    </row>
    <row r="129" spans="2:23" ht="10.5">
      <c r="B129" s="1181"/>
      <c r="C129" s="547"/>
      <c r="D129" s="873"/>
      <c r="E129" s="863"/>
      <c r="F129" s="863"/>
      <c r="G129" s="863"/>
      <c r="H129" s="863"/>
      <c r="I129" s="863"/>
      <c r="J129" s="547"/>
      <c r="K129" s="878"/>
      <c r="L129" s="878"/>
      <c r="M129" s="859">
        <f t="shared" si="8"/>
        <v>0</v>
      </c>
      <c r="N129" s="879"/>
      <c r="O129" s="1182">
        <f t="shared" si="5"/>
        <v>0</v>
      </c>
      <c r="P129" s="873"/>
      <c r="Q129" s="863"/>
      <c r="R129" s="863"/>
      <c r="S129" s="1178"/>
      <c r="U129" s="1200"/>
      <c r="V129" s="1201"/>
      <c r="W129" s="1202"/>
    </row>
    <row r="130" spans="2:23" ht="10.5">
      <c r="B130" s="1181"/>
      <c r="C130" s="547"/>
      <c r="D130" s="873"/>
      <c r="E130" s="863"/>
      <c r="F130" s="863"/>
      <c r="G130" s="863"/>
      <c r="H130" s="863"/>
      <c r="I130" s="863"/>
      <c r="J130" s="547"/>
      <c r="K130" s="878"/>
      <c r="L130" s="878"/>
      <c r="M130" s="859">
        <f t="shared" si="8"/>
        <v>0</v>
      </c>
      <c r="N130" s="879"/>
      <c r="O130" s="1182">
        <f t="shared" si="5"/>
        <v>0</v>
      </c>
      <c r="P130" s="873"/>
      <c r="Q130" s="863"/>
      <c r="R130" s="863"/>
      <c r="S130" s="1178"/>
      <c r="U130" s="1200"/>
      <c r="V130" s="1201"/>
      <c r="W130" s="1202"/>
    </row>
    <row r="131" spans="2:23" ht="10.5">
      <c r="B131" s="1181"/>
      <c r="C131" s="547"/>
      <c r="D131" s="873"/>
      <c r="E131" s="863"/>
      <c r="F131" s="863"/>
      <c r="G131" s="863"/>
      <c r="H131" s="863"/>
      <c r="I131" s="863"/>
      <c r="J131" s="547"/>
      <c r="K131" s="878"/>
      <c r="L131" s="878"/>
      <c r="M131" s="859">
        <f t="shared" si="8"/>
        <v>0</v>
      </c>
      <c r="N131" s="879"/>
      <c r="O131" s="1182">
        <f t="shared" si="5"/>
        <v>0</v>
      </c>
      <c r="P131" s="873"/>
      <c r="Q131" s="863"/>
      <c r="R131" s="863"/>
      <c r="S131" s="1178"/>
      <c r="U131" s="1200"/>
      <c r="V131" s="1201"/>
      <c r="W131" s="1202"/>
    </row>
    <row r="132" spans="2:23" ht="10.5">
      <c r="B132" s="1181"/>
      <c r="C132" s="547"/>
      <c r="D132" s="873"/>
      <c r="E132" s="863"/>
      <c r="F132" s="863"/>
      <c r="G132" s="863"/>
      <c r="H132" s="863"/>
      <c r="I132" s="863"/>
      <c r="J132" s="547"/>
      <c r="K132" s="878"/>
      <c r="L132" s="878"/>
      <c r="M132" s="859">
        <f t="shared" si="8"/>
        <v>0</v>
      </c>
      <c r="N132" s="879"/>
      <c r="O132" s="1182">
        <f t="shared" si="5"/>
        <v>0</v>
      </c>
      <c r="P132" s="873"/>
      <c r="Q132" s="863"/>
      <c r="R132" s="863"/>
      <c r="S132" s="1178"/>
      <c r="U132" s="1200"/>
      <c r="V132" s="1201"/>
      <c r="W132" s="1202"/>
    </row>
    <row r="133" spans="2:23" ht="10.5">
      <c r="B133" s="1181"/>
      <c r="C133" s="547"/>
      <c r="D133" s="873"/>
      <c r="E133" s="863"/>
      <c r="F133" s="863"/>
      <c r="G133" s="863"/>
      <c r="H133" s="863"/>
      <c r="I133" s="863"/>
      <c r="J133" s="547"/>
      <c r="K133" s="878"/>
      <c r="L133" s="878"/>
      <c r="M133" s="859">
        <f t="shared" si="8"/>
        <v>0</v>
      </c>
      <c r="N133" s="879"/>
      <c r="O133" s="1182">
        <f t="shared" si="5"/>
        <v>0</v>
      </c>
      <c r="P133" s="873"/>
      <c r="Q133" s="863"/>
      <c r="R133" s="863"/>
      <c r="S133" s="1178"/>
      <c r="U133" s="1200"/>
      <c r="V133" s="1201"/>
      <c r="W133" s="1202"/>
    </row>
    <row r="134" spans="2:23" ht="10.5">
      <c r="B134" s="1181"/>
      <c r="C134" s="547"/>
      <c r="D134" s="873"/>
      <c r="E134" s="863"/>
      <c r="F134" s="863"/>
      <c r="G134" s="863"/>
      <c r="H134" s="863"/>
      <c r="I134" s="863"/>
      <c r="J134" s="547"/>
      <c r="K134" s="878"/>
      <c r="L134" s="878"/>
      <c r="M134" s="859">
        <f t="shared" si="8"/>
        <v>0</v>
      </c>
      <c r="N134" s="879"/>
      <c r="O134" s="1182">
        <f t="shared" si="5"/>
        <v>0</v>
      </c>
      <c r="P134" s="873"/>
      <c r="Q134" s="863"/>
      <c r="R134" s="863"/>
      <c r="S134" s="1178"/>
      <c r="U134" s="1200"/>
      <c r="V134" s="1201"/>
      <c r="W134" s="1202"/>
    </row>
    <row r="135" spans="2:23" ht="10.5">
      <c r="B135" s="1181"/>
      <c r="C135" s="547"/>
      <c r="D135" s="873"/>
      <c r="E135" s="863"/>
      <c r="F135" s="863"/>
      <c r="G135" s="863"/>
      <c r="H135" s="863"/>
      <c r="I135" s="863"/>
      <c r="J135" s="547"/>
      <c r="K135" s="878"/>
      <c r="L135" s="878"/>
      <c r="M135" s="859">
        <f t="shared" si="8"/>
        <v>0</v>
      </c>
      <c r="N135" s="879"/>
      <c r="O135" s="1182">
        <f t="shared" si="5"/>
        <v>0</v>
      </c>
      <c r="P135" s="873"/>
      <c r="Q135" s="863"/>
      <c r="R135" s="863"/>
      <c r="S135" s="1178"/>
      <c r="U135" s="1200"/>
      <c r="V135" s="1201"/>
      <c r="W135" s="1202"/>
    </row>
    <row r="136" spans="2:23" ht="10.5">
      <c r="B136" s="1181"/>
      <c r="C136" s="547"/>
      <c r="D136" s="873"/>
      <c r="E136" s="863"/>
      <c r="F136" s="863"/>
      <c r="G136" s="863"/>
      <c r="H136" s="863"/>
      <c r="I136" s="863"/>
      <c r="J136" s="547"/>
      <c r="K136" s="878"/>
      <c r="L136" s="878"/>
      <c r="M136" s="859">
        <f t="shared" si="8"/>
        <v>0</v>
      </c>
      <c r="N136" s="879"/>
      <c r="O136" s="1182">
        <f t="shared" si="5"/>
        <v>0</v>
      </c>
      <c r="P136" s="873"/>
      <c r="Q136" s="863"/>
      <c r="R136" s="863"/>
      <c r="S136" s="1178"/>
      <c r="U136" s="1200"/>
      <c r="V136" s="1201"/>
      <c r="W136" s="1202"/>
    </row>
    <row r="137" spans="2:23" ht="10.5">
      <c r="B137" s="1181"/>
      <c r="C137" s="547"/>
      <c r="D137" s="873"/>
      <c r="E137" s="863"/>
      <c r="F137" s="863"/>
      <c r="G137" s="863"/>
      <c r="H137" s="863"/>
      <c r="I137" s="863"/>
      <c r="J137" s="547"/>
      <c r="K137" s="878"/>
      <c r="L137" s="878"/>
      <c r="M137" s="859">
        <f t="shared" si="8"/>
        <v>0</v>
      </c>
      <c r="N137" s="879"/>
      <c r="O137" s="1182">
        <f t="shared" si="5"/>
        <v>0</v>
      </c>
      <c r="P137" s="873"/>
      <c r="Q137" s="863"/>
      <c r="R137" s="863"/>
      <c r="S137" s="1178"/>
      <c r="U137" s="1200"/>
      <c r="V137" s="1201"/>
      <c r="W137" s="1202"/>
    </row>
    <row r="138" spans="2:23" ht="10.5">
      <c r="B138" s="1181"/>
      <c r="C138" s="547"/>
      <c r="D138" s="873"/>
      <c r="E138" s="863"/>
      <c r="F138" s="863"/>
      <c r="G138" s="863"/>
      <c r="H138" s="863"/>
      <c r="I138" s="863"/>
      <c r="J138" s="547"/>
      <c r="K138" s="878"/>
      <c r="L138" s="878"/>
      <c r="M138" s="859">
        <f t="shared" si="8"/>
        <v>0</v>
      </c>
      <c r="N138" s="879"/>
      <c r="O138" s="1182">
        <f t="shared" si="5"/>
        <v>0</v>
      </c>
      <c r="P138" s="873"/>
      <c r="Q138" s="863"/>
      <c r="R138" s="863"/>
      <c r="S138" s="1178"/>
      <c r="U138" s="1200"/>
      <c r="V138" s="1201"/>
      <c r="W138" s="1202"/>
    </row>
    <row r="139" spans="2:23">
      <c r="U139" s="1242"/>
      <c r="V139" s="1243"/>
      <c r="W139" s="1238"/>
    </row>
  </sheetData>
  <sheetProtection algorithmName="SHA-512" hashValue="8yLETlXXSVu1EkbJMB4OEmrvt9f65t3WoTQO1nWoZzyw+rMB5WPkNewrQhCBuMT7S/m4jj6xuJmXJIKr+ngOXA==" saltValue="cjGw8QRsDmBMXuX1aSVWGQ==" spinCount="100000" sheet="1" selectLockedCells="1"/>
  <mergeCells count="6">
    <mergeCell ref="P1:P2"/>
    <mergeCell ref="Q1:Q2"/>
    <mergeCell ref="L1:L2"/>
    <mergeCell ref="M1:M2"/>
    <mergeCell ref="N1:N2"/>
    <mergeCell ref="O1:O2"/>
  </mergeCells>
  <dataValidations disablePrompts="1" count="12">
    <dataValidation type="list" allowBlank="1" showInputMessage="1" showErrorMessage="1" sqref="Q19:Q26" xr:uid="{6B31BC20-5903-4697-B8A4-B7542D6D947A}">
      <formula1>"Büro, Technischer Service, Allg. Lehren und Lernen, Medien, Lager, Weitere STB"</formula1>
    </dataValidation>
    <dataValidation allowBlank="1" showInputMessage="1" showErrorMessage="1" prompt="Bitte geben Sie die Zahl der Standorte ein (wenn &gt; 1). Als eigener Standort wird eine baulich getrennte Teilbibliothek verstanden." sqref="E28" xr:uid="{FD514331-653F-43FB-A0EE-29785858B21D}"/>
    <dataValidation allowBlank="1" showInputMessage="1" showErrorMessage="1" prompt="Wenn Sie die vorgebenen Namen der Tabellenblätter ändern, passen Sie diese Einträge hier bitte an." sqref="B96" xr:uid="{597C93D8-4DA2-4168-814F-8F2EC2BBF0D9}"/>
    <dataValidation allowBlank="1" showInputMessage="1" showErrorMessage="1" prompt="Verknüpfen Sie diese Zelle bitte mit der Zelle E19 des jeweiligen Tabellenblatts." sqref="N109" xr:uid="{7F2D379A-2E86-4871-8AB8-F3C5159F0775}"/>
    <dataValidation allowBlank="1" showInputMessage="1" showErrorMessage="1" prompt="Verknüpfen Sie diese Zelle bitte mit der Zelle E18 des jeweiligen Tabellenblatts." sqref="L109" xr:uid="{8BC5C4B8-E1BB-4DF3-8A84-22052C500452}"/>
    <dataValidation allowBlank="1" showInputMessage="1" showErrorMessage="1" prompt="Verknüpfen Sie diese Zelle bitte mit der Zelle E17 des jeweiligen Tabellenblatts." sqref="K109" xr:uid="{7EF03060-6AA7-4A4B-9474-056C385FEE38}"/>
    <dataValidation allowBlank="1" showInputMessage="1" showErrorMessage="1" prompt="Verknüpfen Sie diese Zelle bitte mit den Zellen B9 und B10 des jeweiligen Tabellenblatts - z.B. so:_x000a_=VERKETTEN('Name'!B9;&quot;, &quot;;'Name'!B10)" sqref="D109" xr:uid="{1BE27BEE-ED35-466D-8D70-A8079C38CCFC}"/>
    <dataValidation allowBlank="1" showInputMessage="1" showErrorMessage="1" prompt="Ab dieser Zeile können Sie die Studienplätze aus weiteren Tabellenblättern eintragen, die Sie hinzugefügt haben." sqref="B109" xr:uid="{D3AE60B7-00D4-49B2-8A2A-25DE834CFE97}"/>
    <dataValidation type="list" allowBlank="1" showInputMessage="1" showErrorMessage="1" sqref="P96:P138" xr:uid="{0DF6A7CC-B67F-4A75-8689-F38FE5CF3504}">
      <formula1>$L$85:$L$91</formula1>
    </dataValidation>
    <dataValidation allowBlank="1" showInputMessage="1" showErrorMessage="1" prompt="Falls Sie die Hilfstabelle unten nicht verwenden, können Sie hier alternativ die Namen der Fächer eintragen, die die Bibliothek nutzen. Fügen Sie bitte auch die Studienplätze und die Auslastung hinzu." sqref="L59" xr:uid="{E3698AA1-5F47-4DA6-91D1-3331DE84CAFF}"/>
    <dataValidation allowBlank="1" showInputMessage="1" showErrorMessage="1" prompt="Im Kennwertverfahren NRW ist eine Auslastung über 100% nicht zulässig. Tragen Sie bitte nur Werte bis max. 100% ein. Ansonsten wird der Flächenbedarf nicht berechnet." sqref="N59" xr:uid="{51315DEE-0BF9-47B7-B200-804CB7783B65}"/>
    <dataValidation allowBlank="1" showInputMessage="1" showErrorMessage="1" prompt="Die Flächenkennwerte finden Sie im Tabellenblatt &quot;Uni-Kennwerte&quot;, Bereich &quot;Lehren und Lernen&quot; in der Spalte Bibliothek." sqref="O59" xr:uid="{B8C94CD4-4CFA-4E9B-B4F1-FDD1AC245213}"/>
  </dataValidations>
  <pageMargins left="0.78740157499999996" right="0.78740157499999996" top="0.78" bottom="0.6" header="0.4921259845" footer="0.28000000000000003"/>
  <pageSetup paperSize="9" scale="72" orientation="portrait" r:id="rId1"/>
  <headerFooter alignWithMargins="0">
    <oddFooter>&amp;C&amp;8Seite &amp;P von &amp;N</oddFooter>
  </headerFooter>
  <rowBreaks count="1" manualBreakCount="1">
    <brk id="39" max="1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5B658-69C1-4DCF-A081-1FC50F690C45}">
  <sheetPr>
    <tabColor theme="0" tint="-0.499984740745262"/>
  </sheetPr>
  <dimension ref="A1:N55"/>
  <sheetViews>
    <sheetView showGridLines="0" zoomScale="115" zoomScaleNormal="115" zoomScaleSheetLayoutView="115" workbookViewId="0"/>
  </sheetViews>
  <sheetFormatPr baseColWidth="10" defaultColWidth="11.54296875" defaultRowHeight="10"/>
  <cols>
    <col min="1" max="1" width="4.81640625" style="1126" customWidth="1"/>
    <col min="2" max="2" width="22.54296875" style="1126" customWidth="1"/>
    <col min="3" max="3" width="65.1796875" style="1126" customWidth="1"/>
    <col min="4" max="4" width="22.81640625" style="1126" customWidth="1"/>
    <col min="5" max="5" width="1" style="1126" customWidth="1"/>
    <col min="6" max="6" width="4.81640625" style="1126" customWidth="1"/>
    <col min="7" max="7" width="22.7265625" style="1126" customWidth="1"/>
    <col min="8" max="8" width="65.1796875" style="1126" customWidth="1"/>
    <col min="9" max="9" width="22.7265625" style="1126" customWidth="1"/>
    <col min="10" max="11" width="1" style="1126" customWidth="1"/>
    <col min="12" max="16384" width="11.54296875" style="1126"/>
  </cols>
  <sheetData>
    <row r="1" spans="1:14" s="1127" customFormat="1" ht="29.5" customHeight="1">
      <c r="A1" s="1159"/>
      <c r="B1" s="1378" t="s">
        <v>664</v>
      </c>
      <c r="C1" s="1378"/>
      <c r="D1" s="1379"/>
      <c r="E1" s="1064"/>
      <c r="F1" s="1065"/>
      <c r="G1" s="1064"/>
      <c r="H1" s="1380"/>
      <c r="I1" s="1380"/>
      <c r="J1" s="1125"/>
      <c r="K1" s="1125"/>
      <c r="L1" s="1126"/>
      <c r="M1" s="1126"/>
      <c r="N1" s="1126"/>
    </row>
    <row r="2" spans="1:14" s="1127" customFormat="1" ht="16.5" customHeight="1">
      <c r="A2" s="1067" t="s">
        <v>250</v>
      </c>
      <c r="B2" s="1068" t="s">
        <v>665</v>
      </c>
      <c r="C2" s="1068" t="s">
        <v>666</v>
      </c>
      <c r="D2" s="1068" t="s">
        <v>667</v>
      </c>
      <c r="E2" s="1064"/>
      <c r="F2" s="1065"/>
      <c r="G2" s="1064"/>
      <c r="H2" s="1064"/>
      <c r="I2" s="1064"/>
      <c r="J2" s="1125"/>
      <c r="K2" s="1125"/>
      <c r="L2" s="1126"/>
      <c r="M2" s="1126"/>
      <c r="N2" s="1126"/>
    </row>
    <row r="3" spans="1:14" s="1127" customFormat="1" ht="53.15" customHeight="1">
      <c r="A3" s="1069" t="s">
        <v>668</v>
      </c>
      <c r="B3" s="1070" t="s">
        <v>669</v>
      </c>
      <c r="C3" s="1070" t="s">
        <v>798</v>
      </c>
      <c r="D3" s="1071"/>
      <c r="E3" s="1064"/>
      <c r="F3" s="1072"/>
      <c r="G3" s="1073"/>
      <c r="H3" s="1073"/>
      <c r="I3" s="1074"/>
      <c r="J3" s="1125"/>
      <c r="K3" s="1125"/>
    </row>
    <row r="4" spans="1:14" ht="29.15" customHeight="1">
      <c r="A4" s="1069" t="s">
        <v>670</v>
      </c>
      <c r="B4" s="1096" t="s">
        <v>29</v>
      </c>
      <c r="C4" s="1121" t="s">
        <v>671</v>
      </c>
      <c r="D4" s="1070"/>
      <c r="E4" s="1077"/>
      <c r="F4" s="1072"/>
      <c r="G4" s="1078"/>
      <c r="H4" s="1079"/>
      <c r="I4" s="1073"/>
      <c r="J4" s="1128"/>
      <c r="K4" s="1128"/>
    </row>
    <row r="5" spans="1:14" ht="17.149999999999999" customHeight="1">
      <c r="A5" s="1069" t="s">
        <v>672</v>
      </c>
      <c r="B5" s="1096" t="s">
        <v>30</v>
      </c>
      <c r="C5" s="1070" t="s">
        <v>673</v>
      </c>
      <c r="D5" s="1070"/>
      <c r="E5" s="1077"/>
      <c r="F5" s="1072"/>
      <c r="G5" s="1078"/>
      <c r="H5" s="1073"/>
      <c r="I5" s="1073"/>
      <c r="J5" s="1128"/>
      <c r="K5" s="1128"/>
    </row>
    <row r="6" spans="1:14" ht="29.15" customHeight="1">
      <c r="A6" s="1080" t="s">
        <v>674</v>
      </c>
      <c r="B6" s="1113" t="s">
        <v>675</v>
      </c>
      <c r="C6" s="1070" t="s">
        <v>800</v>
      </c>
      <c r="D6" s="1082"/>
      <c r="E6" s="1083"/>
      <c r="F6" s="1072"/>
      <c r="G6" s="1078"/>
      <c r="H6" s="1073"/>
      <c r="I6" s="1073"/>
      <c r="J6" s="1129"/>
      <c r="K6" s="1129"/>
    </row>
    <row r="7" spans="1:14" ht="41.15" customHeight="1">
      <c r="A7" s="1084"/>
      <c r="B7" s="1117"/>
      <c r="C7" s="1121" t="s">
        <v>802</v>
      </c>
      <c r="D7" s="1086"/>
      <c r="E7" s="1083"/>
      <c r="F7" s="1072"/>
      <c r="G7" s="1078"/>
      <c r="H7" s="1073"/>
      <c r="I7" s="1073"/>
      <c r="J7" s="1129"/>
      <c r="K7" s="1129"/>
    </row>
    <row r="8" spans="1:14" ht="77.150000000000006" customHeight="1">
      <c r="A8" s="1069" t="s">
        <v>676</v>
      </c>
      <c r="B8" s="1096" t="s">
        <v>277</v>
      </c>
      <c r="C8" s="1096" t="s">
        <v>824</v>
      </c>
      <c r="D8" s="1070"/>
      <c r="E8" s="1083"/>
      <c r="F8" s="1072"/>
      <c r="G8" s="1078"/>
      <c r="H8" s="1073"/>
      <c r="I8" s="1073"/>
      <c r="J8" s="1129"/>
      <c r="K8" s="1129"/>
    </row>
    <row r="9" spans="1:14" ht="55" customHeight="1">
      <c r="A9" s="1069" t="s">
        <v>801</v>
      </c>
      <c r="B9" s="1096" t="s">
        <v>806</v>
      </c>
      <c r="C9" s="1121" t="s">
        <v>817</v>
      </c>
      <c r="D9" s="1070"/>
      <c r="E9" s="1083"/>
      <c r="F9" s="1072"/>
      <c r="G9" s="1078"/>
      <c r="H9" s="1073"/>
      <c r="I9" s="1073"/>
      <c r="J9" s="1129"/>
      <c r="K9" s="1129"/>
    </row>
    <row r="10" spans="1:14" ht="29.5" customHeight="1">
      <c r="A10" s="1154"/>
      <c r="B10" s="1087" t="s">
        <v>677</v>
      </c>
      <c r="C10" s="1088"/>
      <c r="D10" s="1158"/>
      <c r="E10" s="1066"/>
      <c r="F10" s="1154"/>
      <c r="G10" s="1087" t="s">
        <v>40</v>
      </c>
      <c r="H10" s="1157"/>
      <c r="I10" s="1158"/>
    </row>
    <row r="11" spans="1:14" ht="15" customHeight="1">
      <c r="A11" s="1067" t="s">
        <v>250</v>
      </c>
      <c r="B11" s="1068" t="s">
        <v>665</v>
      </c>
      <c r="C11" s="1068" t="s">
        <v>666</v>
      </c>
      <c r="D11" s="1068" t="s">
        <v>667</v>
      </c>
      <c r="E11" s="1066"/>
      <c r="F11" s="1067" t="s">
        <v>250</v>
      </c>
      <c r="G11" s="1068" t="s">
        <v>665</v>
      </c>
      <c r="H11" s="1068" t="s">
        <v>666</v>
      </c>
      <c r="I11" s="1068" t="s">
        <v>667</v>
      </c>
    </row>
    <row r="12" spans="1:14" ht="15" customHeight="1">
      <c r="A12" s="1089">
        <v>2</v>
      </c>
      <c r="B12" s="1090" t="s">
        <v>678</v>
      </c>
      <c r="C12" s="1091"/>
      <c r="D12" s="1092"/>
      <c r="E12" s="1066"/>
      <c r="F12" s="1093">
        <v>9</v>
      </c>
      <c r="G12" s="1094" t="s">
        <v>678</v>
      </c>
      <c r="H12" s="1091"/>
      <c r="I12" s="1092"/>
    </row>
    <row r="13" spans="1:14" ht="101.15" customHeight="1">
      <c r="A13" s="1080" t="s">
        <v>679</v>
      </c>
      <c r="B13" s="1081" t="s">
        <v>73</v>
      </c>
      <c r="C13" s="1070" t="s">
        <v>680</v>
      </c>
      <c r="D13" s="1070" t="s">
        <v>799</v>
      </c>
      <c r="E13" s="1066"/>
      <c r="F13" s="1080" t="s">
        <v>681</v>
      </c>
      <c r="G13" s="1096" t="s">
        <v>682</v>
      </c>
      <c r="H13" s="1070" t="s">
        <v>683</v>
      </c>
      <c r="I13" s="1070"/>
    </row>
    <row r="14" spans="1:14" ht="53.15" customHeight="1">
      <c r="A14" s="1095"/>
      <c r="B14" s="1085"/>
      <c r="C14" s="1070" t="s">
        <v>803</v>
      </c>
      <c r="D14" s="1070"/>
      <c r="E14" s="1066"/>
      <c r="F14" s="1080" t="s">
        <v>684</v>
      </c>
      <c r="G14" s="1096" t="s">
        <v>685</v>
      </c>
      <c r="H14" s="1070" t="s">
        <v>686</v>
      </c>
      <c r="I14" s="1070"/>
    </row>
    <row r="15" spans="1:14" ht="89.15" customHeight="1">
      <c r="A15" s="1069" t="s">
        <v>687</v>
      </c>
      <c r="B15" s="1075" t="s">
        <v>688</v>
      </c>
      <c r="C15" s="1070" t="s">
        <v>804</v>
      </c>
      <c r="D15" s="1070"/>
      <c r="E15" s="1077"/>
      <c r="F15" s="1080" t="s">
        <v>689</v>
      </c>
      <c r="G15" s="1096" t="s">
        <v>805</v>
      </c>
      <c r="H15" s="1070" t="s">
        <v>690</v>
      </c>
      <c r="I15" s="1070"/>
      <c r="J15" s="1128"/>
      <c r="K15" s="1128"/>
    </row>
    <row r="16" spans="1:14" ht="15" customHeight="1">
      <c r="A16" s="1089">
        <v>3</v>
      </c>
      <c r="B16" s="1090" t="s">
        <v>12</v>
      </c>
      <c r="C16" s="1121"/>
      <c r="D16" s="1076"/>
      <c r="E16" s="1066"/>
      <c r="F16" s="1089">
        <v>10</v>
      </c>
      <c r="G16" s="1090" t="s">
        <v>52</v>
      </c>
      <c r="H16" s="1076"/>
      <c r="I16" s="1076"/>
    </row>
    <row r="17" spans="1:11" ht="23">
      <c r="A17" s="1097" t="s">
        <v>691</v>
      </c>
      <c r="B17" s="1075" t="s">
        <v>692</v>
      </c>
      <c r="C17" s="1070" t="s">
        <v>825</v>
      </c>
      <c r="D17" s="1070"/>
      <c r="E17" s="1066"/>
      <c r="F17" s="1097" t="s">
        <v>693</v>
      </c>
      <c r="G17" s="1096" t="s">
        <v>302</v>
      </c>
      <c r="H17" s="1070" t="s">
        <v>694</v>
      </c>
      <c r="I17" s="1070"/>
    </row>
    <row r="18" spans="1:11" ht="65.150000000000006" customHeight="1">
      <c r="A18" s="1098" t="s">
        <v>695</v>
      </c>
      <c r="B18" s="1081" t="s">
        <v>696</v>
      </c>
      <c r="C18" s="1070" t="s">
        <v>826</v>
      </c>
      <c r="D18" s="1070"/>
      <c r="E18" s="1066"/>
      <c r="F18" s="1098" t="s">
        <v>697</v>
      </c>
      <c r="G18" s="1081" t="s">
        <v>37</v>
      </c>
      <c r="H18" s="1082" t="s">
        <v>698</v>
      </c>
      <c r="I18" s="1082"/>
    </row>
    <row r="19" spans="1:11" ht="29.15" customHeight="1">
      <c r="A19" s="1099"/>
      <c r="B19" s="1100"/>
      <c r="C19" s="1070" t="s">
        <v>699</v>
      </c>
      <c r="D19" s="1070"/>
      <c r="E19" s="1066"/>
      <c r="F19" s="1101"/>
      <c r="G19" s="1102"/>
      <c r="H19" s="1103"/>
      <c r="I19" s="1104"/>
    </row>
    <row r="20" spans="1:11" ht="29.15" customHeight="1">
      <c r="A20" s="1105"/>
      <c r="B20" s="1085"/>
      <c r="C20" s="1070" t="s">
        <v>700</v>
      </c>
      <c r="D20" s="1070"/>
      <c r="E20" s="1066"/>
      <c r="F20" s="1099"/>
      <c r="G20" s="1100"/>
      <c r="H20" s="1104"/>
      <c r="I20" s="1104"/>
    </row>
    <row r="21" spans="1:11" ht="29.15" customHeight="1">
      <c r="A21" s="1097" t="s">
        <v>701</v>
      </c>
      <c r="B21" s="1075" t="s">
        <v>33</v>
      </c>
      <c r="C21" s="1070" t="s">
        <v>702</v>
      </c>
      <c r="D21" s="1070"/>
      <c r="E21" s="1066"/>
      <c r="F21" s="1099"/>
      <c r="G21" s="1100"/>
      <c r="H21" s="1104"/>
      <c r="I21" s="1104"/>
    </row>
    <row r="22" spans="1:11" ht="41.15" customHeight="1">
      <c r="A22" s="1097" t="s">
        <v>703</v>
      </c>
      <c r="B22" s="1075" t="s">
        <v>704</v>
      </c>
      <c r="C22" s="1070" t="s">
        <v>705</v>
      </c>
      <c r="D22" s="1070"/>
      <c r="E22" s="1077"/>
      <c r="F22" s="1105"/>
      <c r="G22" s="1085"/>
      <c r="H22" s="1086"/>
      <c r="I22" s="1086"/>
      <c r="J22" s="1128"/>
      <c r="K22" s="1128"/>
    </row>
    <row r="23" spans="1:11" ht="29.15" customHeight="1">
      <c r="A23" s="1097" t="s">
        <v>706</v>
      </c>
      <c r="B23" s="1075" t="s">
        <v>33</v>
      </c>
      <c r="C23" s="1070" t="s">
        <v>707</v>
      </c>
      <c r="D23" s="1070"/>
      <c r="E23" s="1066"/>
      <c r="F23" s="1106"/>
      <c r="G23" s="1078"/>
      <c r="H23" s="1073"/>
      <c r="I23" s="1073"/>
    </row>
    <row r="24" spans="1:11" ht="29.5" customHeight="1">
      <c r="A24" s="1089">
        <v>4</v>
      </c>
      <c r="B24" s="1090" t="s">
        <v>708</v>
      </c>
      <c r="C24" s="1076"/>
      <c r="D24" s="1076"/>
      <c r="E24" s="1066"/>
      <c r="F24" s="1154"/>
      <c r="G24" s="1087" t="s">
        <v>709</v>
      </c>
      <c r="H24" s="1155"/>
      <c r="I24" s="1156"/>
    </row>
    <row r="25" spans="1:11" ht="77.150000000000006" customHeight="1">
      <c r="A25" s="1097" t="s">
        <v>710</v>
      </c>
      <c r="B25" s="1075" t="s">
        <v>711</v>
      </c>
      <c r="C25" s="1070" t="s">
        <v>839</v>
      </c>
      <c r="D25" s="1070"/>
      <c r="E25" s="1066"/>
      <c r="F25" s="1107" t="s">
        <v>712</v>
      </c>
      <c r="G25" s="1108" t="s">
        <v>713</v>
      </c>
      <c r="H25" s="1109" t="s">
        <v>714</v>
      </c>
      <c r="I25" s="1082"/>
    </row>
    <row r="26" spans="1:11" ht="77.150000000000006" customHeight="1">
      <c r="A26" s="1097" t="s">
        <v>715</v>
      </c>
      <c r="B26" s="1096" t="s">
        <v>716</v>
      </c>
      <c r="C26" s="1070" t="s">
        <v>717</v>
      </c>
      <c r="D26" s="1070"/>
      <c r="E26" s="1066"/>
      <c r="F26" s="1110">
        <v>12</v>
      </c>
      <c r="G26" s="1108" t="s">
        <v>37</v>
      </c>
      <c r="H26" s="1082" t="s">
        <v>718</v>
      </c>
      <c r="I26" s="1082"/>
    </row>
    <row r="27" spans="1:11" ht="41.15" customHeight="1">
      <c r="A27" s="1097" t="s">
        <v>719</v>
      </c>
      <c r="B27" s="1096" t="s">
        <v>720</v>
      </c>
      <c r="C27" s="1070" t="s">
        <v>811</v>
      </c>
      <c r="D27" s="1070"/>
      <c r="E27" s="1066"/>
      <c r="F27" s="1089">
        <v>13</v>
      </c>
      <c r="G27" s="1090" t="s">
        <v>167</v>
      </c>
      <c r="H27" s="1076"/>
      <c r="I27" s="1076"/>
    </row>
    <row r="28" spans="1:11" ht="89.15" customHeight="1">
      <c r="A28" s="1097" t="s">
        <v>721</v>
      </c>
      <c r="B28" s="1096" t="s">
        <v>722</v>
      </c>
      <c r="C28" s="1070" t="s">
        <v>723</v>
      </c>
      <c r="D28" s="1070"/>
      <c r="E28" s="1066"/>
      <c r="F28" s="1098" t="s">
        <v>724</v>
      </c>
      <c r="G28" s="1122" t="s">
        <v>822</v>
      </c>
      <c r="H28" s="1070" t="s">
        <v>725</v>
      </c>
      <c r="I28" s="1070"/>
    </row>
    <row r="29" spans="1:11" ht="65.150000000000006" customHeight="1">
      <c r="A29" s="1097" t="s">
        <v>726</v>
      </c>
      <c r="B29" s="1096" t="s">
        <v>727</v>
      </c>
      <c r="C29" s="1070" t="s">
        <v>728</v>
      </c>
      <c r="D29" s="1070"/>
      <c r="E29" s="1066"/>
      <c r="F29" s="1099"/>
      <c r="G29" s="1111"/>
      <c r="H29" s="1070" t="s">
        <v>818</v>
      </c>
      <c r="I29" s="1070"/>
    </row>
    <row r="30" spans="1:11" ht="101.15" customHeight="1">
      <c r="A30" s="1097" t="s">
        <v>729</v>
      </c>
      <c r="B30" s="1096" t="s">
        <v>730</v>
      </c>
      <c r="C30" s="1070" t="s">
        <v>807</v>
      </c>
      <c r="D30" s="1070"/>
      <c r="E30" s="1066"/>
      <c r="F30" s="1097" t="s">
        <v>734</v>
      </c>
      <c r="G30" s="1122" t="s">
        <v>828</v>
      </c>
      <c r="H30" s="1070" t="s">
        <v>731</v>
      </c>
      <c r="I30" s="1070" t="s">
        <v>820</v>
      </c>
    </row>
    <row r="31" spans="1:11" ht="65.150000000000006" customHeight="1">
      <c r="A31" s="1097" t="s">
        <v>732</v>
      </c>
      <c r="B31" s="1096" t="s">
        <v>196</v>
      </c>
      <c r="C31" s="1070" t="s">
        <v>733</v>
      </c>
      <c r="D31" s="1070" t="s">
        <v>827</v>
      </c>
      <c r="E31" s="1066"/>
      <c r="F31" s="1097" t="s">
        <v>739</v>
      </c>
      <c r="G31" s="1096" t="s">
        <v>177</v>
      </c>
      <c r="H31" s="1070" t="s">
        <v>735</v>
      </c>
      <c r="I31" s="1070" t="s">
        <v>819</v>
      </c>
    </row>
    <row r="32" spans="1:11" ht="17.149999999999999" customHeight="1">
      <c r="A32" s="1097" t="s">
        <v>736</v>
      </c>
      <c r="B32" s="1075" t="s">
        <v>737</v>
      </c>
      <c r="C32" s="1112" t="s">
        <v>738</v>
      </c>
      <c r="D32" s="1070"/>
      <c r="E32" s="1066"/>
      <c r="F32" s="1098" t="s">
        <v>821</v>
      </c>
      <c r="G32" s="1113" t="s">
        <v>740</v>
      </c>
      <c r="H32" s="1381" t="s">
        <v>741</v>
      </c>
      <c r="I32" s="1381" t="s">
        <v>742</v>
      </c>
    </row>
    <row r="33" spans="1:11" ht="89.15" customHeight="1">
      <c r="A33" s="1097" t="s">
        <v>743</v>
      </c>
      <c r="B33" s="1075" t="s">
        <v>744</v>
      </c>
      <c r="C33" s="1070" t="s">
        <v>808</v>
      </c>
      <c r="D33" s="1070"/>
      <c r="E33" s="1066"/>
      <c r="F33" s="1114"/>
      <c r="G33" s="1114"/>
      <c r="H33" s="1382"/>
      <c r="I33" s="1382"/>
    </row>
    <row r="34" spans="1:11" ht="34.5">
      <c r="A34" s="1097" t="s">
        <v>745</v>
      </c>
      <c r="B34" s="1075" t="s">
        <v>746</v>
      </c>
      <c r="C34" s="1070" t="s">
        <v>809</v>
      </c>
      <c r="D34" s="1070" t="s">
        <v>747</v>
      </c>
      <c r="E34" s="1066"/>
      <c r="F34" s="1114"/>
      <c r="G34" s="1114"/>
      <c r="H34" s="1114"/>
      <c r="I34" s="1114"/>
    </row>
    <row r="35" spans="1:11" ht="53.15" customHeight="1">
      <c r="A35" s="1097" t="s">
        <v>748</v>
      </c>
      <c r="B35" s="1096" t="s">
        <v>749</v>
      </c>
      <c r="C35" s="1070" t="s">
        <v>750</v>
      </c>
      <c r="D35" s="1070" t="s">
        <v>751</v>
      </c>
      <c r="E35" s="1066"/>
      <c r="F35" s="1084"/>
      <c r="G35" s="1084"/>
      <c r="H35" s="1084"/>
      <c r="I35" s="1084"/>
    </row>
    <row r="36" spans="1:11" ht="15" customHeight="1">
      <c r="A36" s="1089">
        <v>5</v>
      </c>
      <c r="B36" s="1090" t="s">
        <v>752</v>
      </c>
      <c r="C36" s="1076"/>
      <c r="D36" s="1076"/>
      <c r="E36" s="1066"/>
      <c r="F36" s="1115" t="s">
        <v>753</v>
      </c>
      <c r="G36" s="1090" t="s">
        <v>39</v>
      </c>
      <c r="H36" s="1076"/>
      <c r="I36" s="1076"/>
    </row>
    <row r="37" spans="1:11" ht="89.15" customHeight="1">
      <c r="A37" s="1097" t="s">
        <v>754</v>
      </c>
      <c r="B37" s="1096" t="s">
        <v>755</v>
      </c>
      <c r="C37" s="1070" t="s">
        <v>810</v>
      </c>
      <c r="D37" s="1070"/>
      <c r="E37" s="1077"/>
      <c r="F37" s="1097" t="s">
        <v>756</v>
      </c>
      <c r="G37" s="1075" t="s">
        <v>757</v>
      </c>
      <c r="H37" s="1070" t="s">
        <v>758</v>
      </c>
      <c r="I37" s="1070"/>
      <c r="J37" s="1128"/>
      <c r="K37" s="1128"/>
    </row>
    <row r="38" spans="1:11" ht="89.15" customHeight="1">
      <c r="A38" s="1098" t="s">
        <v>759</v>
      </c>
      <c r="B38" s="1113" t="s">
        <v>760</v>
      </c>
      <c r="C38" s="1070" t="s">
        <v>812</v>
      </c>
      <c r="D38" s="1070"/>
      <c r="E38" s="1077"/>
      <c r="F38" s="1098" t="s">
        <v>761</v>
      </c>
      <c r="G38" s="1081" t="s">
        <v>762</v>
      </c>
      <c r="H38" s="1070" t="s">
        <v>763</v>
      </c>
      <c r="I38" s="1070"/>
      <c r="J38" s="1128"/>
      <c r="K38" s="1128"/>
    </row>
    <row r="39" spans="1:11" ht="29.15" customHeight="1">
      <c r="A39" s="1099"/>
      <c r="B39" s="1116"/>
      <c r="C39" s="1070" t="s">
        <v>813</v>
      </c>
      <c r="D39" s="1070"/>
      <c r="E39" s="1077"/>
      <c r="F39" s="1098" t="s">
        <v>764</v>
      </c>
      <c r="G39" s="1070" t="s">
        <v>173</v>
      </c>
      <c r="H39" s="1070" t="s">
        <v>765</v>
      </c>
      <c r="I39" s="1070"/>
      <c r="J39" s="1128"/>
      <c r="K39" s="1128"/>
    </row>
    <row r="40" spans="1:11" ht="65.150000000000006" customHeight="1">
      <c r="A40" s="1105"/>
      <c r="B40" s="1117"/>
      <c r="C40" s="1070" t="s">
        <v>766</v>
      </c>
      <c r="D40" s="1070"/>
      <c r="E40" s="1077"/>
      <c r="F40" s="1098" t="s">
        <v>767</v>
      </c>
      <c r="G40" s="1070" t="s">
        <v>33</v>
      </c>
      <c r="H40" s="1070" t="s">
        <v>768</v>
      </c>
      <c r="I40" s="1070" t="s">
        <v>742</v>
      </c>
      <c r="J40" s="1128"/>
      <c r="K40" s="1128"/>
    </row>
    <row r="41" spans="1:11" ht="53.15" customHeight="1">
      <c r="A41" s="1098" t="s">
        <v>769</v>
      </c>
      <c r="B41" s="1113" t="s">
        <v>770</v>
      </c>
      <c r="C41" s="1082" t="s">
        <v>771</v>
      </c>
      <c r="D41" s="1082" t="s">
        <v>772</v>
      </c>
      <c r="E41" s="1066"/>
      <c r="F41" s="1097" t="s">
        <v>773</v>
      </c>
      <c r="G41" s="1075" t="s">
        <v>774</v>
      </c>
      <c r="H41" s="1070" t="s">
        <v>823</v>
      </c>
      <c r="I41" s="1070"/>
    </row>
    <row r="42" spans="1:11" ht="11.5">
      <c r="A42" s="1105"/>
      <c r="B42" s="1117"/>
      <c r="C42" s="1086"/>
      <c r="D42" s="1086"/>
      <c r="E42" s="1066"/>
      <c r="F42" s="1106"/>
      <c r="G42" s="1078"/>
      <c r="H42" s="1073"/>
      <c r="I42" s="1153" t="str">
        <f>HAW!B28</f>
        <v>Kennwertverfahren NRW für HAW; HIS-Institut für Hochschulentwicklung e.V. (24.04.2026)</v>
      </c>
    </row>
    <row r="43" spans="1:11" ht="65.150000000000006" customHeight="1">
      <c r="A43" s="1097" t="s">
        <v>775</v>
      </c>
      <c r="B43" s="1096" t="s">
        <v>776</v>
      </c>
      <c r="C43" s="1070" t="s">
        <v>777</v>
      </c>
      <c r="D43" s="1070"/>
      <c r="E43" s="1066"/>
      <c r="F43" s="1106"/>
      <c r="G43" s="1078"/>
      <c r="H43" s="1073"/>
    </row>
    <row r="44" spans="1:11" ht="15" customHeight="1">
      <c r="A44" s="1089">
        <v>6</v>
      </c>
      <c r="B44" s="1090" t="s">
        <v>86</v>
      </c>
      <c r="C44" s="1076"/>
      <c r="D44" s="1076"/>
      <c r="E44" s="1066"/>
      <c r="F44" s="1066"/>
      <c r="G44" s="1066"/>
      <c r="H44" s="1066"/>
      <c r="I44" s="1112"/>
    </row>
    <row r="45" spans="1:11" ht="41.15" customHeight="1">
      <c r="A45" s="1097" t="s">
        <v>778</v>
      </c>
      <c r="B45" s="1096" t="s">
        <v>779</v>
      </c>
      <c r="C45" s="1070" t="s">
        <v>780</v>
      </c>
      <c r="D45" s="1070" t="s">
        <v>781</v>
      </c>
      <c r="E45" s="1066"/>
      <c r="F45" s="1106"/>
      <c r="G45" s="1078"/>
      <c r="H45" s="1073"/>
      <c r="I45" s="1073"/>
    </row>
    <row r="46" spans="1:11" ht="41.15" customHeight="1">
      <c r="A46" s="1097" t="s">
        <v>782</v>
      </c>
      <c r="B46" s="1075" t="s">
        <v>16</v>
      </c>
      <c r="C46" s="1070" t="s">
        <v>783</v>
      </c>
      <c r="D46" s="1070"/>
      <c r="E46" s="1066"/>
      <c r="F46" s="1118"/>
      <c r="G46" s="1064"/>
      <c r="H46" s="1079"/>
      <c r="I46" s="1079"/>
    </row>
    <row r="47" spans="1:11" ht="15" customHeight="1">
      <c r="A47" s="1089">
        <v>7</v>
      </c>
      <c r="B47" s="1090" t="s">
        <v>15</v>
      </c>
      <c r="C47" s="1076"/>
      <c r="D47" s="1076"/>
      <c r="E47" s="1066"/>
      <c r="F47" s="1106"/>
      <c r="G47" s="1078"/>
      <c r="H47" s="1073"/>
      <c r="I47" s="1073"/>
    </row>
    <row r="48" spans="1:11" ht="53.15" customHeight="1">
      <c r="A48" s="1097" t="s">
        <v>784</v>
      </c>
      <c r="B48" s="1096" t="s">
        <v>779</v>
      </c>
      <c r="C48" s="1070" t="s">
        <v>785</v>
      </c>
      <c r="D48" s="1070" t="s">
        <v>781</v>
      </c>
      <c r="E48" s="1066"/>
      <c r="F48" s="1106"/>
      <c r="G48" s="1119"/>
      <c r="H48" s="1073"/>
      <c r="I48" s="1073"/>
    </row>
    <row r="49" spans="1:9" ht="29.15" customHeight="1">
      <c r="A49" s="1097" t="s">
        <v>786</v>
      </c>
      <c r="B49" s="1096" t="s">
        <v>787</v>
      </c>
      <c r="C49" s="1070" t="s">
        <v>814</v>
      </c>
      <c r="D49" s="1070"/>
      <c r="E49" s="1066"/>
      <c r="F49" s="1106"/>
      <c r="G49" s="1119"/>
      <c r="H49" s="1073"/>
      <c r="I49" s="1073"/>
    </row>
    <row r="50" spans="1:9" ht="101.15" customHeight="1">
      <c r="A50" s="1097" t="s">
        <v>788</v>
      </c>
      <c r="B50" s="1096" t="s">
        <v>789</v>
      </c>
      <c r="C50" s="1070" t="s">
        <v>815</v>
      </c>
      <c r="D50" s="1070"/>
      <c r="E50" s="1066"/>
      <c r="F50" s="1106"/>
      <c r="G50" s="1119"/>
      <c r="H50" s="1073"/>
      <c r="I50" s="1073"/>
    </row>
    <row r="51" spans="1:9" ht="53.15" customHeight="1">
      <c r="A51" s="1097" t="s">
        <v>790</v>
      </c>
      <c r="B51" s="1096" t="s">
        <v>791</v>
      </c>
      <c r="C51" s="1070" t="s">
        <v>792</v>
      </c>
      <c r="D51" s="1070"/>
      <c r="E51" s="1066"/>
      <c r="F51" s="1106"/>
      <c r="G51" s="1119"/>
      <c r="H51" s="1073"/>
      <c r="I51" s="1073"/>
    </row>
    <row r="52" spans="1:9" ht="11.5">
      <c r="A52" s="1089">
        <v>8</v>
      </c>
      <c r="B52" s="1090" t="s">
        <v>793</v>
      </c>
      <c r="C52" s="1076"/>
      <c r="D52" s="1076"/>
      <c r="E52" s="1066"/>
      <c r="F52" s="1118"/>
      <c r="G52" s="1064"/>
      <c r="H52" s="1079"/>
      <c r="I52" s="1079"/>
    </row>
    <row r="53" spans="1:9" ht="43.5" customHeight="1">
      <c r="A53" s="1097" t="s">
        <v>794</v>
      </c>
      <c r="B53" s="1075" t="s">
        <v>816</v>
      </c>
      <c r="C53" s="1070" t="s">
        <v>795</v>
      </c>
      <c r="D53" s="1070"/>
      <c r="E53" s="1066"/>
      <c r="F53" s="1106"/>
      <c r="G53" s="1078"/>
      <c r="H53" s="1073"/>
      <c r="I53" s="1383"/>
    </row>
    <row r="54" spans="1:9" ht="89.15" customHeight="1">
      <c r="A54" s="1097" t="s">
        <v>796</v>
      </c>
      <c r="B54" s="1096" t="s">
        <v>849</v>
      </c>
      <c r="C54" s="1070" t="s">
        <v>797</v>
      </c>
      <c r="D54" s="1070" t="s">
        <v>850</v>
      </c>
      <c r="E54" s="1066"/>
      <c r="F54" s="1106"/>
      <c r="G54" s="1078"/>
      <c r="H54" s="1073"/>
      <c r="I54" s="1383"/>
    </row>
    <row r="55" spans="1:9">
      <c r="D55" s="1153" t="str">
        <f>HAW!B28</f>
        <v>Kennwertverfahren NRW für HAW; HIS-Institut für Hochschulentwicklung e.V. (24.04.2026)</v>
      </c>
    </row>
  </sheetData>
  <sheetProtection algorithmName="SHA-512" hashValue="Ht0CZZGTDr6ElQoZ7rV1d21XjXONI4cPkZKgUjWyz8vjnPuPVy9EeQ5XiQ8ionR8mMDgcJJqOah0ynY91Kej7w==" saltValue="82OIjJUqktpFRoF0hbVQ1g==" spinCount="100000" sheet="1" selectLockedCells="1" selectUnlockedCells="1"/>
  <mergeCells count="5">
    <mergeCell ref="B1:D1"/>
    <mergeCell ref="H1:I1"/>
    <mergeCell ref="H32:H33"/>
    <mergeCell ref="I32:I33"/>
    <mergeCell ref="I53:I54"/>
  </mergeCells>
  <pageMargins left="0.7" right="0.7" top="0.78740157499999996" bottom="0.78740157499999996" header="0.3" footer="0.3"/>
  <pageSetup paperSize="9" scale="81" orientation="landscape" r:id="rId1"/>
  <rowBreaks count="4" manualBreakCount="4">
    <brk id="9" max="16383" man="1"/>
    <brk id="23" max="16383" man="1"/>
    <brk id="31" max="16383" man="1"/>
    <brk id="42" max="16383" man="1"/>
  </rowBreaks>
  <colBreaks count="1" manualBreakCount="1">
    <brk id="5"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38635-8684-42B6-919A-C8A29CF73C4E}">
  <sheetPr>
    <tabColor theme="0" tint="-0.249977111117893"/>
    <pageSetUpPr fitToPage="1"/>
  </sheetPr>
  <dimension ref="A1:W306"/>
  <sheetViews>
    <sheetView showGridLines="0" zoomScale="115" zoomScaleNormal="115" zoomScaleSheetLayoutView="115" workbookViewId="0">
      <pane ySplit="6" topLeftCell="A7" activePane="bottomLeft" state="frozen"/>
      <selection activeCell="B6" sqref="B6"/>
      <selection pane="bottomLeft" activeCell="A7" sqref="A7"/>
    </sheetView>
  </sheetViews>
  <sheetFormatPr baseColWidth="10" defaultColWidth="10.81640625" defaultRowHeight="11.5"/>
  <cols>
    <col min="1" max="1" width="21.1796875" style="940" customWidth="1"/>
    <col min="2" max="2" width="21.26953125" style="940" bestFit="1" customWidth="1"/>
    <col min="3" max="3" width="21.1796875" style="940" customWidth="1"/>
    <col min="4" max="4" width="23" style="940" customWidth="1"/>
    <col min="5" max="5" width="12.453125" style="940" customWidth="1"/>
    <col min="6" max="6" width="5" style="940" bestFit="1" customWidth="1"/>
    <col min="7" max="10" width="9.26953125" style="940" customWidth="1"/>
    <col min="11" max="20" width="9.1796875" style="940" customWidth="1"/>
    <col min="21" max="21" width="12.81640625" style="940" customWidth="1"/>
    <col min="22" max="16384" width="10.81640625" style="940"/>
  </cols>
  <sheetData>
    <row r="1" spans="1:23">
      <c r="A1" s="938" t="s">
        <v>309</v>
      </c>
      <c r="B1" s="939"/>
      <c r="C1" s="939"/>
      <c r="D1" s="939"/>
      <c r="E1" s="939"/>
      <c r="F1" s="939"/>
      <c r="G1" s="939"/>
      <c r="H1" s="939"/>
    </row>
    <row r="2" spans="1:23">
      <c r="A2" s="938" t="s">
        <v>846</v>
      </c>
      <c r="B2" s="939"/>
      <c r="C2" s="939"/>
      <c r="D2" s="939"/>
      <c r="E2" s="939"/>
      <c r="F2" s="939"/>
      <c r="G2" s="939"/>
      <c r="H2" s="939"/>
    </row>
    <row r="3" spans="1:23" ht="9.65" customHeight="1"/>
    <row r="4" spans="1:23" ht="33" customHeight="1">
      <c r="A4" s="941"/>
      <c r="B4" s="942"/>
      <c r="C4" s="943"/>
      <c r="D4" s="941"/>
      <c r="E4" s="942"/>
      <c r="F4" s="943"/>
      <c r="G4" s="944" t="s">
        <v>310</v>
      </c>
      <c r="H4" s="945"/>
      <c r="I4" s="945"/>
      <c r="J4" s="945"/>
      <c r="K4" s="945"/>
      <c r="L4" s="945"/>
      <c r="M4" s="945"/>
      <c r="N4" s="946"/>
      <c r="O4" s="1384" t="s">
        <v>311</v>
      </c>
      <c r="P4" s="1385"/>
      <c r="Q4" s="1385"/>
      <c r="R4" s="1385"/>
      <c r="S4" s="1385"/>
      <c r="T4" s="1386"/>
      <c r="U4" s="947" t="s">
        <v>26</v>
      </c>
      <c r="V4" s="948"/>
    </row>
    <row r="5" spans="1:23" ht="29.15" customHeight="1">
      <c r="A5" s="941" t="s">
        <v>312</v>
      </c>
      <c r="B5" s="942"/>
      <c r="C5" s="943"/>
      <c r="D5" s="949" t="s">
        <v>313</v>
      </c>
      <c r="E5" s="950"/>
      <c r="F5" s="951"/>
      <c r="G5" s="944" t="s">
        <v>842</v>
      </c>
      <c r="H5" s="950"/>
      <c r="I5" s="950"/>
      <c r="J5" s="952"/>
      <c r="K5" s="942"/>
      <c r="L5" s="953" t="s">
        <v>314</v>
      </c>
      <c r="M5" s="945"/>
      <c r="N5" s="946"/>
      <c r="O5" s="944" t="s">
        <v>315</v>
      </c>
      <c r="P5" s="951"/>
      <c r="Q5" s="944" t="s">
        <v>316</v>
      </c>
      <c r="R5" s="950"/>
      <c r="S5" s="951"/>
      <c r="T5" s="1387" t="s">
        <v>317</v>
      </c>
      <c r="U5" s="954" t="s">
        <v>318</v>
      </c>
      <c r="V5" s="948"/>
    </row>
    <row r="6" spans="1:23" ht="34.5">
      <c r="A6" s="955" t="s">
        <v>62</v>
      </c>
      <c r="B6" s="956" t="s">
        <v>319</v>
      </c>
      <c r="C6" s="957" t="s">
        <v>320</v>
      </c>
      <c r="D6" s="955" t="s">
        <v>321</v>
      </c>
      <c r="E6" s="958" t="s">
        <v>322</v>
      </c>
      <c r="F6" s="1123" t="s">
        <v>840</v>
      </c>
      <c r="G6" s="960" t="s">
        <v>323</v>
      </c>
      <c r="H6" s="961" t="s">
        <v>324</v>
      </c>
      <c r="I6" s="962" t="s">
        <v>325</v>
      </c>
      <c r="J6" s="963" t="s">
        <v>326</v>
      </c>
      <c r="K6" s="964" t="s">
        <v>31</v>
      </c>
      <c r="L6" s="965" t="s">
        <v>327</v>
      </c>
      <c r="M6" s="956" t="s">
        <v>328</v>
      </c>
      <c r="N6" s="966" t="s">
        <v>329</v>
      </c>
      <c r="O6" s="960" t="s">
        <v>330</v>
      </c>
      <c r="P6" s="966" t="s">
        <v>331</v>
      </c>
      <c r="Q6" s="960" t="s">
        <v>332</v>
      </c>
      <c r="R6" s="961" t="s">
        <v>333</v>
      </c>
      <c r="S6" s="966" t="s">
        <v>334</v>
      </c>
      <c r="T6" s="1388"/>
      <c r="U6" s="967" t="s">
        <v>335</v>
      </c>
      <c r="V6" s="948"/>
    </row>
    <row r="7" spans="1:23">
      <c r="A7" s="968"/>
      <c r="B7" s="969"/>
      <c r="C7" s="970"/>
      <c r="D7" s="968"/>
      <c r="E7" s="969"/>
      <c r="F7" s="971"/>
      <c r="G7" s="972"/>
      <c r="H7" s="973"/>
      <c r="I7" s="974">
        <f>SUM(G7:H7)</f>
        <v>0</v>
      </c>
      <c r="J7" s="975"/>
      <c r="K7" s="969"/>
      <c r="L7" s="976"/>
      <c r="M7" s="969"/>
      <c r="N7" s="977">
        <f>SUM(L7:M7)</f>
        <v>0</v>
      </c>
      <c r="O7" s="968"/>
      <c r="P7" s="978" t="str">
        <f t="shared" ref="P7:P70" si="0">IFERROR(N7/O7,"")</f>
        <v/>
      </c>
      <c r="Q7" s="979"/>
      <c r="R7" s="979"/>
      <c r="S7" s="978" t="str">
        <f>IFERROR(Q7/R7,"")</f>
        <v/>
      </c>
      <c r="T7" s="980"/>
      <c r="U7" s="981" t="str">
        <f>IFERROR(I7*J7*K7/N7*IF($U$6="Variante 1",P7,IF($U$6="Variante 2",S7,T7)),"")</f>
        <v/>
      </c>
      <c r="V7" s="982"/>
      <c r="W7" s="983"/>
    </row>
    <row r="8" spans="1:23">
      <c r="A8" s="968"/>
      <c r="B8" s="969"/>
      <c r="C8" s="970"/>
      <c r="D8" s="968"/>
      <c r="E8" s="969"/>
      <c r="F8" s="971"/>
      <c r="G8" s="984"/>
      <c r="H8" s="985"/>
      <c r="I8" s="986">
        <f t="shared" ref="I8:I23" si="1">SUM(G8:H8)</f>
        <v>0</v>
      </c>
      <c r="J8" s="975"/>
      <c r="K8" s="969"/>
      <c r="L8" s="976"/>
      <c r="M8" s="969"/>
      <c r="N8" s="977">
        <f t="shared" ref="N8:N71" si="2">SUM(L8:M8)</f>
        <v>0</v>
      </c>
      <c r="O8" s="968"/>
      <c r="P8" s="978" t="str">
        <f t="shared" si="0"/>
        <v/>
      </c>
      <c r="Q8" s="979"/>
      <c r="R8" s="979"/>
      <c r="S8" s="978" t="str">
        <f t="shared" ref="S8:S71" si="3">IFERROR(Q8/R8,"")</f>
        <v/>
      </c>
      <c r="T8" s="980"/>
      <c r="U8" s="981" t="str">
        <f t="shared" ref="U8:U71" si="4">IFERROR(I8*J8*K8/N8*IF($U$6="Variante 1",P8,IF($U$6="Variante 2",S8,T8)),"")</f>
        <v/>
      </c>
      <c r="V8" s="982"/>
      <c r="W8" s="983"/>
    </row>
    <row r="9" spans="1:23">
      <c r="A9" s="968"/>
      <c r="B9" s="969"/>
      <c r="C9" s="970"/>
      <c r="D9" s="968"/>
      <c r="E9" s="969"/>
      <c r="F9" s="971"/>
      <c r="G9" s="984"/>
      <c r="H9" s="985"/>
      <c r="I9" s="986">
        <f t="shared" si="1"/>
        <v>0</v>
      </c>
      <c r="J9" s="975"/>
      <c r="K9" s="969"/>
      <c r="L9" s="976"/>
      <c r="M9" s="969"/>
      <c r="N9" s="977">
        <f t="shared" si="2"/>
        <v>0</v>
      </c>
      <c r="O9" s="968"/>
      <c r="P9" s="978" t="str">
        <f t="shared" si="0"/>
        <v/>
      </c>
      <c r="Q9" s="979"/>
      <c r="R9" s="979"/>
      <c r="S9" s="978" t="str">
        <f t="shared" si="3"/>
        <v/>
      </c>
      <c r="T9" s="980"/>
      <c r="U9" s="981" t="str">
        <f t="shared" si="4"/>
        <v/>
      </c>
      <c r="V9" s="982"/>
      <c r="W9" s="983"/>
    </row>
    <row r="10" spans="1:23">
      <c r="A10" s="968"/>
      <c r="B10" s="969"/>
      <c r="C10" s="970"/>
      <c r="D10" s="968"/>
      <c r="E10" s="969"/>
      <c r="F10" s="971"/>
      <c r="G10" s="984"/>
      <c r="H10" s="985"/>
      <c r="I10" s="986">
        <f t="shared" si="1"/>
        <v>0</v>
      </c>
      <c r="J10" s="975"/>
      <c r="K10" s="969"/>
      <c r="L10" s="976"/>
      <c r="M10" s="969"/>
      <c r="N10" s="977">
        <f t="shared" si="2"/>
        <v>0</v>
      </c>
      <c r="O10" s="968"/>
      <c r="P10" s="978" t="str">
        <f t="shared" si="0"/>
        <v/>
      </c>
      <c r="Q10" s="979"/>
      <c r="R10" s="979"/>
      <c r="S10" s="978" t="str">
        <f t="shared" si="3"/>
        <v/>
      </c>
      <c r="T10" s="980"/>
      <c r="U10" s="981" t="str">
        <f t="shared" si="4"/>
        <v/>
      </c>
      <c r="V10" s="982"/>
      <c r="W10" s="983"/>
    </row>
    <row r="11" spans="1:23">
      <c r="A11" s="968"/>
      <c r="B11" s="969"/>
      <c r="C11" s="970"/>
      <c r="D11" s="968"/>
      <c r="E11" s="969"/>
      <c r="F11" s="971"/>
      <c r="G11" s="984"/>
      <c r="H11" s="985"/>
      <c r="I11" s="986">
        <f t="shared" si="1"/>
        <v>0</v>
      </c>
      <c r="J11" s="975"/>
      <c r="K11" s="969"/>
      <c r="L11" s="976"/>
      <c r="M11" s="969"/>
      <c r="N11" s="977">
        <f t="shared" si="2"/>
        <v>0</v>
      </c>
      <c r="O11" s="968"/>
      <c r="P11" s="978" t="str">
        <f t="shared" si="0"/>
        <v/>
      </c>
      <c r="Q11" s="979"/>
      <c r="R11" s="979"/>
      <c r="S11" s="978" t="str">
        <f t="shared" si="3"/>
        <v/>
      </c>
      <c r="T11" s="980"/>
      <c r="U11" s="981" t="str">
        <f t="shared" si="4"/>
        <v/>
      </c>
      <c r="V11" s="982"/>
      <c r="W11" s="983"/>
    </row>
    <row r="12" spans="1:23">
      <c r="A12" s="968"/>
      <c r="B12" s="969"/>
      <c r="C12" s="970"/>
      <c r="D12" s="968"/>
      <c r="E12" s="969"/>
      <c r="F12" s="971"/>
      <c r="G12" s="984"/>
      <c r="H12" s="985"/>
      <c r="I12" s="986">
        <f t="shared" si="1"/>
        <v>0</v>
      </c>
      <c r="J12" s="975"/>
      <c r="K12" s="969"/>
      <c r="L12" s="976"/>
      <c r="M12" s="969"/>
      <c r="N12" s="977">
        <f t="shared" si="2"/>
        <v>0</v>
      </c>
      <c r="O12" s="968"/>
      <c r="P12" s="978" t="str">
        <f t="shared" si="0"/>
        <v/>
      </c>
      <c r="Q12" s="979"/>
      <c r="R12" s="979"/>
      <c r="S12" s="978" t="str">
        <f t="shared" si="3"/>
        <v/>
      </c>
      <c r="T12" s="980"/>
      <c r="U12" s="981" t="str">
        <f t="shared" si="4"/>
        <v/>
      </c>
      <c r="V12" s="982"/>
      <c r="W12" s="983"/>
    </row>
    <row r="13" spans="1:23">
      <c r="A13" s="968"/>
      <c r="B13" s="969"/>
      <c r="C13" s="970"/>
      <c r="D13" s="968"/>
      <c r="E13" s="969"/>
      <c r="F13" s="971"/>
      <c r="G13" s="984"/>
      <c r="H13" s="985"/>
      <c r="I13" s="986">
        <f t="shared" si="1"/>
        <v>0</v>
      </c>
      <c r="J13" s="987"/>
      <c r="K13" s="969"/>
      <c r="L13" s="976"/>
      <c r="M13" s="969"/>
      <c r="N13" s="977">
        <f t="shared" si="2"/>
        <v>0</v>
      </c>
      <c r="O13" s="968"/>
      <c r="P13" s="978" t="str">
        <f t="shared" si="0"/>
        <v/>
      </c>
      <c r="Q13" s="979"/>
      <c r="R13" s="979"/>
      <c r="S13" s="978" t="str">
        <f t="shared" si="3"/>
        <v/>
      </c>
      <c r="T13" s="980"/>
      <c r="U13" s="981" t="str">
        <f t="shared" si="4"/>
        <v/>
      </c>
      <c r="V13" s="982"/>
      <c r="W13" s="983"/>
    </row>
    <row r="14" spans="1:23">
      <c r="A14" s="968"/>
      <c r="B14" s="969"/>
      <c r="C14" s="970"/>
      <c r="D14" s="968"/>
      <c r="E14" s="969"/>
      <c r="F14" s="971"/>
      <c r="G14" s="984"/>
      <c r="H14" s="985"/>
      <c r="I14" s="986">
        <f t="shared" si="1"/>
        <v>0</v>
      </c>
      <c r="J14" s="987"/>
      <c r="K14" s="969"/>
      <c r="L14" s="976"/>
      <c r="M14" s="969"/>
      <c r="N14" s="977">
        <f t="shared" si="2"/>
        <v>0</v>
      </c>
      <c r="O14" s="968"/>
      <c r="P14" s="978" t="str">
        <f t="shared" si="0"/>
        <v/>
      </c>
      <c r="Q14" s="979"/>
      <c r="R14" s="979"/>
      <c r="S14" s="978" t="str">
        <f t="shared" si="3"/>
        <v/>
      </c>
      <c r="T14" s="980"/>
      <c r="U14" s="981" t="str">
        <f t="shared" si="4"/>
        <v/>
      </c>
      <c r="V14" s="982"/>
      <c r="W14" s="983"/>
    </row>
    <row r="15" spans="1:23">
      <c r="A15" s="968"/>
      <c r="B15" s="969"/>
      <c r="C15" s="970"/>
      <c r="D15" s="968"/>
      <c r="E15" s="969"/>
      <c r="F15" s="971"/>
      <c r="G15" s="984"/>
      <c r="H15" s="985"/>
      <c r="I15" s="986">
        <f t="shared" si="1"/>
        <v>0</v>
      </c>
      <c r="J15" s="987"/>
      <c r="K15" s="969"/>
      <c r="L15" s="976"/>
      <c r="M15" s="969"/>
      <c r="N15" s="977">
        <f t="shared" si="2"/>
        <v>0</v>
      </c>
      <c r="O15" s="968"/>
      <c r="P15" s="978" t="str">
        <f t="shared" si="0"/>
        <v/>
      </c>
      <c r="Q15" s="979"/>
      <c r="R15" s="979"/>
      <c r="S15" s="978" t="str">
        <f t="shared" si="3"/>
        <v/>
      </c>
      <c r="T15" s="980"/>
      <c r="U15" s="981" t="str">
        <f t="shared" si="4"/>
        <v/>
      </c>
      <c r="V15" s="982"/>
      <c r="W15" s="983"/>
    </row>
    <row r="16" spans="1:23">
      <c r="A16" s="968"/>
      <c r="B16" s="969"/>
      <c r="C16" s="970"/>
      <c r="D16" s="968"/>
      <c r="E16" s="969"/>
      <c r="F16" s="971"/>
      <c r="G16" s="984"/>
      <c r="H16" s="985"/>
      <c r="I16" s="986">
        <f t="shared" si="1"/>
        <v>0</v>
      </c>
      <c r="J16" s="975"/>
      <c r="K16" s="969"/>
      <c r="L16" s="976"/>
      <c r="M16" s="969"/>
      <c r="N16" s="977">
        <f t="shared" si="2"/>
        <v>0</v>
      </c>
      <c r="O16" s="968"/>
      <c r="P16" s="978" t="str">
        <f t="shared" si="0"/>
        <v/>
      </c>
      <c r="Q16" s="979"/>
      <c r="R16" s="979"/>
      <c r="S16" s="978" t="str">
        <f t="shared" si="3"/>
        <v/>
      </c>
      <c r="T16" s="980"/>
      <c r="U16" s="981" t="str">
        <f t="shared" si="4"/>
        <v/>
      </c>
      <c r="V16" s="982"/>
      <c r="W16" s="983"/>
    </row>
    <row r="17" spans="1:23">
      <c r="A17" s="968"/>
      <c r="B17" s="969"/>
      <c r="C17" s="970"/>
      <c r="D17" s="968"/>
      <c r="E17" s="969"/>
      <c r="F17" s="971"/>
      <c r="G17" s="984"/>
      <c r="H17" s="985"/>
      <c r="I17" s="986">
        <f t="shared" si="1"/>
        <v>0</v>
      </c>
      <c r="J17" s="975"/>
      <c r="K17" s="969"/>
      <c r="L17" s="976"/>
      <c r="M17" s="969"/>
      <c r="N17" s="977">
        <f t="shared" si="2"/>
        <v>0</v>
      </c>
      <c r="O17" s="968"/>
      <c r="P17" s="978" t="str">
        <f t="shared" si="0"/>
        <v/>
      </c>
      <c r="Q17" s="979"/>
      <c r="R17" s="979"/>
      <c r="S17" s="978" t="str">
        <f t="shared" si="3"/>
        <v/>
      </c>
      <c r="T17" s="980"/>
      <c r="U17" s="981" t="str">
        <f t="shared" si="4"/>
        <v/>
      </c>
      <c r="V17" s="982"/>
      <c r="W17" s="983"/>
    </row>
    <row r="18" spans="1:23">
      <c r="A18" s="968"/>
      <c r="B18" s="969"/>
      <c r="C18" s="970"/>
      <c r="D18" s="968"/>
      <c r="E18" s="969"/>
      <c r="F18" s="971"/>
      <c r="G18" s="984"/>
      <c r="H18" s="985"/>
      <c r="I18" s="986">
        <f t="shared" si="1"/>
        <v>0</v>
      </c>
      <c r="J18" s="975"/>
      <c r="K18" s="969"/>
      <c r="L18" s="976"/>
      <c r="M18" s="969"/>
      <c r="N18" s="977">
        <f t="shared" si="2"/>
        <v>0</v>
      </c>
      <c r="O18" s="988"/>
      <c r="P18" s="978" t="str">
        <f t="shared" si="0"/>
        <v/>
      </c>
      <c r="Q18" s="979"/>
      <c r="R18" s="979"/>
      <c r="S18" s="978" t="str">
        <f t="shared" si="3"/>
        <v/>
      </c>
      <c r="T18" s="980"/>
      <c r="U18" s="981" t="str">
        <f t="shared" si="4"/>
        <v/>
      </c>
      <c r="V18" s="948"/>
    </row>
    <row r="19" spans="1:23">
      <c r="A19" s="968"/>
      <c r="B19" s="969"/>
      <c r="C19" s="970"/>
      <c r="D19" s="968"/>
      <c r="E19" s="969"/>
      <c r="F19" s="971"/>
      <c r="G19" s="984"/>
      <c r="H19" s="985"/>
      <c r="I19" s="986">
        <f t="shared" si="1"/>
        <v>0</v>
      </c>
      <c r="J19" s="975"/>
      <c r="K19" s="969"/>
      <c r="L19" s="976"/>
      <c r="M19" s="969"/>
      <c r="N19" s="977">
        <f t="shared" si="2"/>
        <v>0</v>
      </c>
      <c r="O19" s="988"/>
      <c r="P19" s="978" t="str">
        <f t="shared" si="0"/>
        <v/>
      </c>
      <c r="Q19" s="979"/>
      <c r="R19" s="979"/>
      <c r="S19" s="978" t="str">
        <f t="shared" si="3"/>
        <v/>
      </c>
      <c r="T19" s="980"/>
      <c r="U19" s="981" t="str">
        <f t="shared" si="4"/>
        <v/>
      </c>
      <c r="V19" s="948"/>
    </row>
    <row r="20" spans="1:23">
      <c r="A20" s="968"/>
      <c r="B20" s="969"/>
      <c r="C20" s="970"/>
      <c r="D20" s="968"/>
      <c r="E20" s="969"/>
      <c r="F20" s="971"/>
      <c r="G20" s="984"/>
      <c r="H20" s="985"/>
      <c r="I20" s="986">
        <f t="shared" si="1"/>
        <v>0</v>
      </c>
      <c r="J20" s="975"/>
      <c r="K20" s="969"/>
      <c r="L20" s="976"/>
      <c r="M20" s="969"/>
      <c r="N20" s="977">
        <f t="shared" si="2"/>
        <v>0</v>
      </c>
      <c r="O20" s="988"/>
      <c r="P20" s="978" t="str">
        <f t="shared" si="0"/>
        <v/>
      </c>
      <c r="Q20" s="979"/>
      <c r="R20" s="979"/>
      <c r="S20" s="978" t="str">
        <f t="shared" si="3"/>
        <v/>
      </c>
      <c r="T20" s="980"/>
      <c r="U20" s="981" t="str">
        <f t="shared" si="4"/>
        <v/>
      </c>
      <c r="V20" s="948"/>
    </row>
    <row r="21" spans="1:23">
      <c r="A21" s="968"/>
      <c r="B21" s="969"/>
      <c r="C21" s="969"/>
      <c r="D21" s="968"/>
      <c r="E21" s="969"/>
      <c r="F21" s="971"/>
      <c r="G21" s="984"/>
      <c r="H21" s="985"/>
      <c r="I21" s="986">
        <f t="shared" si="1"/>
        <v>0</v>
      </c>
      <c r="J21" s="975"/>
      <c r="K21" s="969"/>
      <c r="L21" s="976"/>
      <c r="M21" s="969"/>
      <c r="N21" s="977">
        <f t="shared" si="2"/>
        <v>0</v>
      </c>
      <c r="O21" s="988"/>
      <c r="P21" s="978" t="str">
        <f t="shared" si="0"/>
        <v/>
      </c>
      <c r="Q21" s="979"/>
      <c r="R21" s="979"/>
      <c r="S21" s="978" t="str">
        <f t="shared" si="3"/>
        <v/>
      </c>
      <c r="T21" s="980"/>
      <c r="U21" s="981" t="str">
        <f t="shared" si="4"/>
        <v/>
      </c>
      <c r="V21" s="948"/>
    </row>
    <row r="22" spans="1:23">
      <c r="A22" s="968"/>
      <c r="B22" s="969"/>
      <c r="C22" s="969"/>
      <c r="D22" s="968"/>
      <c r="E22" s="969"/>
      <c r="F22" s="971"/>
      <c r="G22" s="984"/>
      <c r="H22" s="985"/>
      <c r="I22" s="986">
        <f t="shared" si="1"/>
        <v>0</v>
      </c>
      <c r="J22" s="975"/>
      <c r="K22" s="969"/>
      <c r="L22" s="976"/>
      <c r="M22" s="969"/>
      <c r="N22" s="977">
        <f t="shared" si="2"/>
        <v>0</v>
      </c>
      <c r="O22" s="988"/>
      <c r="P22" s="978" t="str">
        <f t="shared" si="0"/>
        <v/>
      </c>
      <c r="Q22" s="979"/>
      <c r="R22" s="979"/>
      <c r="S22" s="978" t="str">
        <f t="shared" si="3"/>
        <v/>
      </c>
      <c r="T22" s="980"/>
      <c r="U22" s="981" t="str">
        <f t="shared" si="4"/>
        <v/>
      </c>
      <c r="V22" s="948"/>
    </row>
    <row r="23" spans="1:23">
      <c r="A23" s="968"/>
      <c r="B23" s="969"/>
      <c r="C23" s="969"/>
      <c r="D23" s="968"/>
      <c r="E23" s="969"/>
      <c r="F23" s="971"/>
      <c r="G23" s="984"/>
      <c r="H23" s="985"/>
      <c r="I23" s="986">
        <f t="shared" si="1"/>
        <v>0</v>
      </c>
      <c r="J23" s="975"/>
      <c r="K23" s="969"/>
      <c r="L23" s="976"/>
      <c r="M23" s="969"/>
      <c r="N23" s="977">
        <f t="shared" si="2"/>
        <v>0</v>
      </c>
      <c r="O23" s="988"/>
      <c r="P23" s="978" t="str">
        <f t="shared" si="0"/>
        <v/>
      </c>
      <c r="Q23" s="979"/>
      <c r="R23" s="989"/>
      <c r="S23" s="978" t="str">
        <f t="shared" si="3"/>
        <v/>
      </c>
      <c r="T23" s="980"/>
      <c r="U23" s="981" t="str">
        <f t="shared" si="4"/>
        <v/>
      </c>
      <c r="V23" s="948"/>
    </row>
    <row r="24" spans="1:23">
      <c r="A24" s="968"/>
      <c r="B24" s="969"/>
      <c r="C24" s="969"/>
      <c r="D24" s="968"/>
      <c r="E24" s="969"/>
      <c r="F24" s="971"/>
      <c r="G24" s="984"/>
      <c r="H24" s="985"/>
      <c r="I24" s="986">
        <f t="shared" ref="I24:I87" si="5">SUM(G24:H24)</f>
        <v>0</v>
      </c>
      <c r="J24" s="975"/>
      <c r="K24" s="969"/>
      <c r="L24" s="976"/>
      <c r="M24" s="969"/>
      <c r="N24" s="977">
        <f t="shared" si="2"/>
        <v>0</v>
      </c>
      <c r="O24" s="988"/>
      <c r="P24" s="978" t="str">
        <f t="shared" si="0"/>
        <v/>
      </c>
      <c r="Q24" s="979"/>
      <c r="R24" s="989"/>
      <c r="S24" s="978" t="str">
        <f t="shared" si="3"/>
        <v/>
      </c>
      <c r="T24" s="980"/>
      <c r="U24" s="981" t="str">
        <f t="shared" si="4"/>
        <v/>
      </c>
      <c r="V24" s="948"/>
    </row>
    <row r="25" spans="1:23">
      <c r="A25" s="968"/>
      <c r="B25" s="969"/>
      <c r="C25" s="969"/>
      <c r="D25" s="968"/>
      <c r="E25" s="969"/>
      <c r="F25" s="971"/>
      <c r="G25" s="984"/>
      <c r="H25" s="985"/>
      <c r="I25" s="986">
        <f t="shared" si="5"/>
        <v>0</v>
      </c>
      <c r="J25" s="975"/>
      <c r="K25" s="969"/>
      <c r="L25" s="976"/>
      <c r="M25" s="969"/>
      <c r="N25" s="977">
        <f t="shared" si="2"/>
        <v>0</v>
      </c>
      <c r="O25" s="988"/>
      <c r="P25" s="978" t="str">
        <f t="shared" si="0"/>
        <v/>
      </c>
      <c r="Q25" s="979"/>
      <c r="R25" s="989"/>
      <c r="S25" s="978" t="str">
        <f t="shared" si="3"/>
        <v/>
      </c>
      <c r="T25" s="980"/>
      <c r="U25" s="981" t="str">
        <f t="shared" si="4"/>
        <v/>
      </c>
      <c r="V25" s="948"/>
    </row>
    <row r="26" spans="1:23">
      <c r="A26" s="968"/>
      <c r="B26" s="969"/>
      <c r="C26" s="969"/>
      <c r="D26" s="968"/>
      <c r="E26" s="969"/>
      <c r="F26" s="971"/>
      <c r="G26" s="984"/>
      <c r="H26" s="985"/>
      <c r="I26" s="986">
        <f t="shared" si="5"/>
        <v>0</v>
      </c>
      <c r="J26" s="975"/>
      <c r="K26" s="969"/>
      <c r="L26" s="976"/>
      <c r="M26" s="969"/>
      <c r="N26" s="977">
        <f t="shared" si="2"/>
        <v>0</v>
      </c>
      <c r="O26" s="988"/>
      <c r="P26" s="978" t="str">
        <f t="shared" si="0"/>
        <v/>
      </c>
      <c r="Q26" s="979"/>
      <c r="R26" s="989"/>
      <c r="S26" s="978" t="str">
        <f t="shared" si="3"/>
        <v/>
      </c>
      <c r="T26" s="980"/>
      <c r="U26" s="981" t="str">
        <f t="shared" si="4"/>
        <v/>
      </c>
      <c r="V26" s="948"/>
    </row>
    <row r="27" spans="1:23">
      <c r="A27" s="968"/>
      <c r="B27" s="969"/>
      <c r="C27" s="969"/>
      <c r="D27" s="968"/>
      <c r="E27" s="969"/>
      <c r="F27" s="971"/>
      <c r="G27" s="984"/>
      <c r="H27" s="985"/>
      <c r="I27" s="986">
        <f t="shared" si="5"/>
        <v>0</v>
      </c>
      <c r="J27" s="975"/>
      <c r="K27" s="969"/>
      <c r="L27" s="976"/>
      <c r="M27" s="969"/>
      <c r="N27" s="977">
        <f t="shared" si="2"/>
        <v>0</v>
      </c>
      <c r="O27" s="988"/>
      <c r="P27" s="978" t="str">
        <f t="shared" si="0"/>
        <v/>
      </c>
      <c r="Q27" s="979"/>
      <c r="R27" s="989"/>
      <c r="S27" s="978" t="str">
        <f t="shared" si="3"/>
        <v/>
      </c>
      <c r="T27" s="980"/>
      <c r="U27" s="981" t="str">
        <f t="shared" si="4"/>
        <v/>
      </c>
      <c r="V27" s="948"/>
    </row>
    <row r="28" spans="1:23">
      <c r="A28" s="968"/>
      <c r="B28" s="969"/>
      <c r="C28" s="969"/>
      <c r="D28" s="968"/>
      <c r="E28" s="969"/>
      <c r="F28" s="971"/>
      <c r="G28" s="984"/>
      <c r="H28" s="985"/>
      <c r="I28" s="986">
        <f t="shared" si="5"/>
        <v>0</v>
      </c>
      <c r="J28" s="975"/>
      <c r="K28" s="969"/>
      <c r="L28" s="976"/>
      <c r="M28" s="969"/>
      <c r="N28" s="977">
        <f t="shared" si="2"/>
        <v>0</v>
      </c>
      <c r="O28" s="988"/>
      <c r="P28" s="978" t="str">
        <f t="shared" si="0"/>
        <v/>
      </c>
      <c r="Q28" s="979"/>
      <c r="R28" s="989"/>
      <c r="S28" s="978" t="str">
        <f t="shared" si="3"/>
        <v/>
      </c>
      <c r="T28" s="980"/>
      <c r="U28" s="981" t="str">
        <f t="shared" si="4"/>
        <v/>
      </c>
      <c r="V28" s="948"/>
    </row>
    <row r="29" spans="1:23">
      <c r="A29" s="968"/>
      <c r="B29" s="969"/>
      <c r="C29" s="969"/>
      <c r="D29" s="968"/>
      <c r="E29" s="969"/>
      <c r="F29" s="971"/>
      <c r="G29" s="984"/>
      <c r="H29" s="985"/>
      <c r="I29" s="986">
        <f t="shared" si="5"/>
        <v>0</v>
      </c>
      <c r="J29" s="975"/>
      <c r="K29" s="969"/>
      <c r="L29" s="976"/>
      <c r="M29" s="969"/>
      <c r="N29" s="977">
        <f t="shared" si="2"/>
        <v>0</v>
      </c>
      <c r="O29" s="988"/>
      <c r="P29" s="978" t="str">
        <f t="shared" si="0"/>
        <v/>
      </c>
      <c r="Q29" s="979"/>
      <c r="R29" s="989"/>
      <c r="S29" s="978" t="str">
        <f t="shared" si="3"/>
        <v/>
      </c>
      <c r="T29" s="980"/>
      <c r="U29" s="981" t="str">
        <f t="shared" si="4"/>
        <v/>
      </c>
      <c r="V29" s="948"/>
    </row>
    <row r="30" spans="1:23">
      <c r="A30" s="968"/>
      <c r="B30" s="969"/>
      <c r="C30" s="969"/>
      <c r="D30" s="968"/>
      <c r="E30" s="969"/>
      <c r="F30" s="971"/>
      <c r="G30" s="984"/>
      <c r="H30" s="985"/>
      <c r="I30" s="986">
        <f t="shared" si="5"/>
        <v>0</v>
      </c>
      <c r="J30" s="975"/>
      <c r="K30" s="969"/>
      <c r="L30" s="976"/>
      <c r="M30" s="969"/>
      <c r="N30" s="977">
        <f t="shared" si="2"/>
        <v>0</v>
      </c>
      <c r="O30" s="988"/>
      <c r="P30" s="978" t="str">
        <f t="shared" si="0"/>
        <v/>
      </c>
      <c r="Q30" s="979"/>
      <c r="R30" s="989"/>
      <c r="S30" s="978" t="str">
        <f t="shared" si="3"/>
        <v/>
      </c>
      <c r="T30" s="980"/>
      <c r="U30" s="981" t="str">
        <f t="shared" si="4"/>
        <v/>
      </c>
      <c r="V30" s="948"/>
    </row>
    <row r="31" spans="1:23">
      <c r="A31" s="968"/>
      <c r="B31" s="969"/>
      <c r="C31" s="969"/>
      <c r="D31" s="968"/>
      <c r="E31" s="969"/>
      <c r="F31" s="971"/>
      <c r="G31" s="984"/>
      <c r="H31" s="985"/>
      <c r="I31" s="986">
        <f t="shared" si="5"/>
        <v>0</v>
      </c>
      <c r="J31" s="975"/>
      <c r="K31" s="969"/>
      <c r="L31" s="976"/>
      <c r="M31" s="969"/>
      <c r="N31" s="977">
        <f t="shared" si="2"/>
        <v>0</v>
      </c>
      <c r="O31" s="988"/>
      <c r="P31" s="978" t="str">
        <f t="shared" si="0"/>
        <v/>
      </c>
      <c r="Q31" s="979"/>
      <c r="R31" s="989"/>
      <c r="S31" s="978" t="str">
        <f t="shared" si="3"/>
        <v/>
      </c>
      <c r="T31" s="980"/>
      <c r="U31" s="981" t="str">
        <f t="shared" si="4"/>
        <v/>
      </c>
      <c r="V31" s="948"/>
    </row>
    <row r="32" spans="1:23">
      <c r="A32" s="968"/>
      <c r="B32" s="969"/>
      <c r="C32" s="969"/>
      <c r="D32" s="968"/>
      <c r="E32" s="969"/>
      <c r="F32" s="971"/>
      <c r="G32" s="984"/>
      <c r="H32" s="985"/>
      <c r="I32" s="986">
        <f t="shared" si="5"/>
        <v>0</v>
      </c>
      <c r="J32" s="975"/>
      <c r="K32" s="969"/>
      <c r="L32" s="976"/>
      <c r="M32" s="969"/>
      <c r="N32" s="977">
        <f t="shared" si="2"/>
        <v>0</v>
      </c>
      <c r="O32" s="988"/>
      <c r="P32" s="978" t="str">
        <f t="shared" si="0"/>
        <v/>
      </c>
      <c r="Q32" s="979"/>
      <c r="R32" s="989"/>
      <c r="S32" s="978" t="str">
        <f t="shared" si="3"/>
        <v/>
      </c>
      <c r="T32" s="980"/>
      <c r="U32" s="981" t="str">
        <f t="shared" si="4"/>
        <v/>
      </c>
      <c r="V32" s="948"/>
    </row>
    <row r="33" spans="1:22">
      <c r="A33" s="968"/>
      <c r="B33" s="969"/>
      <c r="C33" s="969"/>
      <c r="D33" s="968"/>
      <c r="E33" s="969"/>
      <c r="F33" s="971"/>
      <c r="G33" s="984"/>
      <c r="H33" s="985"/>
      <c r="I33" s="986">
        <f t="shared" si="5"/>
        <v>0</v>
      </c>
      <c r="J33" s="975"/>
      <c r="K33" s="969"/>
      <c r="L33" s="976"/>
      <c r="M33" s="969"/>
      <c r="N33" s="977">
        <f t="shared" si="2"/>
        <v>0</v>
      </c>
      <c r="O33" s="988"/>
      <c r="P33" s="978" t="str">
        <f t="shared" si="0"/>
        <v/>
      </c>
      <c r="Q33" s="979"/>
      <c r="R33" s="989"/>
      <c r="S33" s="978" t="str">
        <f t="shared" si="3"/>
        <v/>
      </c>
      <c r="T33" s="980"/>
      <c r="U33" s="981" t="str">
        <f t="shared" si="4"/>
        <v/>
      </c>
      <c r="V33" s="948"/>
    </row>
    <row r="34" spans="1:22">
      <c r="A34" s="968"/>
      <c r="B34" s="969"/>
      <c r="C34" s="969"/>
      <c r="D34" s="968"/>
      <c r="E34" s="969"/>
      <c r="F34" s="971"/>
      <c r="G34" s="984"/>
      <c r="H34" s="985"/>
      <c r="I34" s="986">
        <f t="shared" si="5"/>
        <v>0</v>
      </c>
      <c r="J34" s="975"/>
      <c r="K34" s="969"/>
      <c r="L34" s="976"/>
      <c r="M34" s="969"/>
      <c r="N34" s="977">
        <f t="shared" si="2"/>
        <v>0</v>
      </c>
      <c r="O34" s="988"/>
      <c r="P34" s="978" t="str">
        <f t="shared" si="0"/>
        <v/>
      </c>
      <c r="Q34" s="979"/>
      <c r="R34" s="989"/>
      <c r="S34" s="978" t="str">
        <f t="shared" si="3"/>
        <v/>
      </c>
      <c r="T34" s="980"/>
      <c r="U34" s="981" t="str">
        <f t="shared" si="4"/>
        <v/>
      </c>
      <c r="V34" s="948"/>
    </row>
    <row r="35" spans="1:22">
      <c r="A35" s="968"/>
      <c r="B35" s="969"/>
      <c r="C35" s="969"/>
      <c r="D35" s="968"/>
      <c r="E35" s="969"/>
      <c r="F35" s="971"/>
      <c r="G35" s="984"/>
      <c r="H35" s="985"/>
      <c r="I35" s="986">
        <f t="shared" si="5"/>
        <v>0</v>
      </c>
      <c r="J35" s="975"/>
      <c r="K35" s="969"/>
      <c r="L35" s="976"/>
      <c r="M35" s="969"/>
      <c r="N35" s="977">
        <f t="shared" si="2"/>
        <v>0</v>
      </c>
      <c r="O35" s="988"/>
      <c r="P35" s="978" t="str">
        <f t="shared" si="0"/>
        <v/>
      </c>
      <c r="Q35" s="979"/>
      <c r="R35" s="989"/>
      <c r="S35" s="978" t="str">
        <f t="shared" si="3"/>
        <v/>
      </c>
      <c r="T35" s="980"/>
      <c r="U35" s="981" t="str">
        <f t="shared" si="4"/>
        <v/>
      </c>
      <c r="V35" s="948"/>
    </row>
    <row r="36" spans="1:22">
      <c r="A36" s="968"/>
      <c r="B36" s="969"/>
      <c r="C36" s="969"/>
      <c r="D36" s="968"/>
      <c r="E36" s="969"/>
      <c r="F36" s="971"/>
      <c r="G36" s="984"/>
      <c r="H36" s="985"/>
      <c r="I36" s="986">
        <f t="shared" si="5"/>
        <v>0</v>
      </c>
      <c r="J36" s="975"/>
      <c r="K36" s="969"/>
      <c r="L36" s="976"/>
      <c r="M36" s="969"/>
      <c r="N36" s="977">
        <f t="shared" si="2"/>
        <v>0</v>
      </c>
      <c r="O36" s="988"/>
      <c r="P36" s="978" t="str">
        <f t="shared" si="0"/>
        <v/>
      </c>
      <c r="Q36" s="979"/>
      <c r="R36" s="989"/>
      <c r="S36" s="978" t="str">
        <f t="shared" si="3"/>
        <v/>
      </c>
      <c r="T36" s="980"/>
      <c r="U36" s="981" t="str">
        <f t="shared" si="4"/>
        <v/>
      </c>
      <c r="V36" s="948"/>
    </row>
    <row r="37" spans="1:22">
      <c r="A37" s="968"/>
      <c r="B37" s="969"/>
      <c r="C37" s="969"/>
      <c r="D37" s="968"/>
      <c r="E37" s="969"/>
      <c r="F37" s="971"/>
      <c r="G37" s="984"/>
      <c r="H37" s="985"/>
      <c r="I37" s="986">
        <f t="shared" si="5"/>
        <v>0</v>
      </c>
      <c r="J37" s="975"/>
      <c r="K37" s="969"/>
      <c r="L37" s="976"/>
      <c r="M37" s="969"/>
      <c r="N37" s="977">
        <f t="shared" si="2"/>
        <v>0</v>
      </c>
      <c r="O37" s="988"/>
      <c r="P37" s="978" t="str">
        <f t="shared" si="0"/>
        <v/>
      </c>
      <c r="Q37" s="979"/>
      <c r="R37" s="989"/>
      <c r="S37" s="978" t="str">
        <f t="shared" si="3"/>
        <v/>
      </c>
      <c r="T37" s="980"/>
      <c r="U37" s="981" t="str">
        <f t="shared" si="4"/>
        <v/>
      </c>
      <c r="V37" s="948"/>
    </row>
    <row r="38" spans="1:22">
      <c r="A38" s="968"/>
      <c r="B38" s="969"/>
      <c r="C38" s="969"/>
      <c r="D38" s="968"/>
      <c r="E38" s="969"/>
      <c r="F38" s="971"/>
      <c r="G38" s="984"/>
      <c r="H38" s="985"/>
      <c r="I38" s="986">
        <f t="shared" si="5"/>
        <v>0</v>
      </c>
      <c r="J38" s="975"/>
      <c r="K38" s="969"/>
      <c r="L38" s="976"/>
      <c r="M38" s="969"/>
      <c r="N38" s="977">
        <f t="shared" si="2"/>
        <v>0</v>
      </c>
      <c r="O38" s="988"/>
      <c r="P38" s="978" t="str">
        <f t="shared" si="0"/>
        <v/>
      </c>
      <c r="Q38" s="979"/>
      <c r="R38" s="989"/>
      <c r="S38" s="978" t="str">
        <f t="shared" si="3"/>
        <v/>
      </c>
      <c r="T38" s="980"/>
      <c r="U38" s="981" t="str">
        <f t="shared" si="4"/>
        <v/>
      </c>
      <c r="V38" s="948"/>
    </row>
    <row r="39" spans="1:22">
      <c r="A39" s="968"/>
      <c r="B39" s="969"/>
      <c r="C39" s="969"/>
      <c r="D39" s="968"/>
      <c r="E39" s="969"/>
      <c r="F39" s="971"/>
      <c r="G39" s="984"/>
      <c r="H39" s="985"/>
      <c r="I39" s="986">
        <f t="shared" si="5"/>
        <v>0</v>
      </c>
      <c r="J39" s="975"/>
      <c r="K39" s="969"/>
      <c r="L39" s="976"/>
      <c r="M39" s="969"/>
      <c r="N39" s="977">
        <f t="shared" si="2"/>
        <v>0</v>
      </c>
      <c r="O39" s="988"/>
      <c r="P39" s="978" t="str">
        <f t="shared" si="0"/>
        <v/>
      </c>
      <c r="Q39" s="979"/>
      <c r="R39" s="989"/>
      <c r="S39" s="978" t="str">
        <f t="shared" si="3"/>
        <v/>
      </c>
      <c r="T39" s="980"/>
      <c r="U39" s="981" t="str">
        <f t="shared" si="4"/>
        <v/>
      </c>
      <c r="V39" s="948"/>
    </row>
    <row r="40" spans="1:22">
      <c r="A40" s="968"/>
      <c r="B40" s="969"/>
      <c r="C40" s="969"/>
      <c r="D40" s="968"/>
      <c r="E40" s="969"/>
      <c r="F40" s="971"/>
      <c r="G40" s="984"/>
      <c r="H40" s="985"/>
      <c r="I40" s="986">
        <f t="shared" si="5"/>
        <v>0</v>
      </c>
      <c r="J40" s="975"/>
      <c r="K40" s="969"/>
      <c r="L40" s="976"/>
      <c r="M40" s="969"/>
      <c r="N40" s="977">
        <f t="shared" si="2"/>
        <v>0</v>
      </c>
      <c r="O40" s="988"/>
      <c r="P40" s="978" t="str">
        <f t="shared" si="0"/>
        <v/>
      </c>
      <c r="Q40" s="979"/>
      <c r="R40" s="989"/>
      <c r="S40" s="978" t="str">
        <f t="shared" si="3"/>
        <v/>
      </c>
      <c r="T40" s="980"/>
      <c r="U40" s="981" t="str">
        <f t="shared" si="4"/>
        <v/>
      </c>
      <c r="V40" s="948"/>
    </row>
    <row r="41" spans="1:22">
      <c r="A41" s="968"/>
      <c r="B41" s="969"/>
      <c r="C41" s="969"/>
      <c r="D41" s="968"/>
      <c r="E41" s="969"/>
      <c r="F41" s="971"/>
      <c r="G41" s="984"/>
      <c r="H41" s="985"/>
      <c r="I41" s="986">
        <f t="shared" si="5"/>
        <v>0</v>
      </c>
      <c r="J41" s="975"/>
      <c r="K41" s="969"/>
      <c r="L41" s="976"/>
      <c r="M41" s="969"/>
      <c r="N41" s="977">
        <f t="shared" si="2"/>
        <v>0</v>
      </c>
      <c r="O41" s="988"/>
      <c r="P41" s="978" t="str">
        <f t="shared" si="0"/>
        <v/>
      </c>
      <c r="Q41" s="979"/>
      <c r="R41" s="989"/>
      <c r="S41" s="978" t="str">
        <f t="shared" si="3"/>
        <v/>
      </c>
      <c r="T41" s="980"/>
      <c r="U41" s="981" t="str">
        <f t="shared" si="4"/>
        <v/>
      </c>
      <c r="V41" s="948"/>
    </row>
    <row r="42" spans="1:22">
      <c r="A42" s="968"/>
      <c r="B42" s="969"/>
      <c r="C42" s="969"/>
      <c r="D42" s="968"/>
      <c r="E42" s="969"/>
      <c r="F42" s="971"/>
      <c r="G42" s="984"/>
      <c r="H42" s="985"/>
      <c r="I42" s="986">
        <f t="shared" si="5"/>
        <v>0</v>
      </c>
      <c r="J42" s="975"/>
      <c r="K42" s="969"/>
      <c r="L42" s="976"/>
      <c r="M42" s="969"/>
      <c r="N42" s="977">
        <f t="shared" si="2"/>
        <v>0</v>
      </c>
      <c r="O42" s="988"/>
      <c r="P42" s="978" t="str">
        <f t="shared" si="0"/>
        <v/>
      </c>
      <c r="Q42" s="979"/>
      <c r="R42" s="989"/>
      <c r="S42" s="978" t="str">
        <f t="shared" si="3"/>
        <v/>
      </c>
      <c r="T42" s="980"/>
      <c r="U42" s="981" t="str">
        <f t="shared" si="4"/>
        <v/>
      </c>
      <c r="V42" s="948"/>
    </row>
    <row r="43" spans="1:22">
      <c r="A43" s="968"/>
      <c r="B43" s="969"/>
      <c r="C43" s="969"/>
      <c r="D43" s="968"/>
      <c r="E43" s="969"/>
      <c r="F43" s="971"/>
      <c r="G43" s="984"/>
      <c r="H43" s="985"/>
      <c r="I43" s="986">
        <f t="shared" si="5"/>
        <v>0</v>
      </c>
      <c r="J43" s="975"/>
      <c r="K43" s="969"/>
      <c r="L43" s="976"/>
      <c r="M43" s="969"/>
      <c r="N43" s="977">
        <f t="shared" si="2"/>
        <v>0</v>
      </c>
      <c r="O43" s="988"/>
      <c r="P43" s="978" t="str">
        <f t="shared" si="0"/>
        <v/>
      </c>
      <c r="Q43" s="979"/>
      <c r="R43" s="989"/>
      <c r="S43" s="978" t="str">
        <f t="shared" si="3"/>
        <v/>
      </c>
      <c r="T43" s="980"/>
      <c r="U43" s="981" t="str">
        <f t="shared" si="4"/>
        <v/>
      </c>
      <c r="V43" s="948"/>
    </row>
    <row r="44" spans="1:22">
      <c r="A44" s="968"/>
      <c r="B44" s="969"/>
      <c r="C44" s="969"/>
      <c r="D44" s="968"/>
      <c r="E44" s="969"/>
      <c r="F44" s="971"/>
      <c r="G44" s="984"/>
      <c r="H44" s="985"/>
      <c r="I44" s="986">
        <f t="shared" si="5"/>
        <v>0</v>
      </c>
      <c r="J44" s="975"/>
      <c r="K44" s="969"/>
      <c r="L44" s="976"/>
      <c r="M44" s="969"/>
      <c r="N44" s="977">
        <f t="shared" si="2"/>
        <v>0</v>
      </c>
      <c r="O44" s="988"/>
      <c r="P44" s="978" t="str">
        <f t="shared" si="0"/>
        <v/>
      </c>
      <c r="Q44" s="979"/>
      <c r="R44" s="989"/>
      <c r="S44" s="978" t="str">
        <f t="shared" si="3"/>
        <v/>
      </c>
      <c r="T44" s="980"/>
      <c r="U44" s="981" t="str">
        <f t="shared" si="4"/>
        <v/>
      </c>
      <c r="V44" s="948"/>
    </row>
    <row r="45" spans="1:22">
      <c r="A45" s="968"/>
      <c r="B45" s="969"/>
      <c r="C45" s="969"/>
      <c r="D45" s="968"/>
      <c r="E45" s="969"/>
      <c r="F45" s="971"/>
      <c r="G45" s="984"/>
      <c r="H45" s="985"/>
      <c r="I45" s="986">
        <f t="shared" si="5"/>
        <v>0</v>
      </c>
      <c r="J45" s="975"/>
      <c r="K45" s="969"/>
      <c r="L45" s="976"/>
      <c r="M45" s="969"/>
      <c r="N45" s="977">
        <f t="shared" si="2"/>
        <v>0</v>
      </c>
      <c r="O45" s="988"/>
      <c r="P45" s="978" t="str">
        <f t="shared" si="0"/>
        <v/>
      </c>
      <c r="Q45" s="979"/>
      <c r="R45" s="989"/>
      <c r="S45" s="978" t="str">
        <f t="shared" si="3"/>
        <v/>
      </c>
      <c r="T45" s="980"/>
      <c r="U45" s="981" t="str">
        <f t="shared" si="4"/>
        <v/>
      </c>
      <c r="V45" s="948"/>
    </row>
    <row r="46" spans="1:22">
      <c r="A46" s="968"/>
      <c r="B46" s="969"/>
      <c r="C46" s="969"/>
      <c r="D46" s="968"/>
      <c r="E46" s="969"/>
      <c r="F46" s="971"/>
      <c r="G46" s="984"/>
      <c r="H46" s="985"/>
      <c r="I46" s="986">
        <f t="shared" si="5"/>
        <v>0</v>
      </c>
      <c r="J46" s="975"/>
      <c r="K46" s="969"/>
      <c r="L46" s="976"/>
      <c r="M46" s="969"/>
      <c r="N46" s="977">
        <f t="shared" si="2"/>
        <v>0</v>
      </c>
      <c r="O46" s="988"/>
      <c r="P46" s="978" t="str">
        <f t="shared" si="0"/>
        <v/>
      </c>
      <c r="Q46" s="979"/>
      <c r="R46" s="989"/>
      <c r="S46" s="978" t="str">
        <f t="shared" si="3"/>
        <v/>
      </c>
      <c r="T46" s="980"/>
      <c r="U46" s="981" t="str">
        <f t="shared" si="4"/>
        <v/>
      </c>
      <c r="V46" s="948"/>
    </row>
    <row r="47" spans="1:22">
      <c r="A47" s="968"/>
      <c r="B47" s="969"/>
      <c r="C47" s="969"/>
      <c r="D47" s="968"/>
      <c r="E47" s="969"/>
      <c r="F47" s="971"/>
      <c r="G47" s="984"/>
      <c r="H47" s="985"/>
      <c r="I47" s="986">
        <f t="shared" si="5"/>
        <v>0</v>
      </c>
      <c r="J47" s="975"/>
      <c r="K47" s="969"/>
      <c r="L47" s="976"/>
      <c r="M47" s="969"/>
      <c r="N47" s="977">
        <f t="shared" si="2"/>
        <v>0</v>
      </c>
      <c r="O47" s="988"/>
      <c r="P47" s="978" t="str">
        <f t="shared" si="0"/>
        <v/>
      </c>
      <c r="Q47" s="979"/>
      <c r="R47" s="989"/>
      <c r="S47" s="978" t="str">
        <f t="shared" si="3"/>
        <v/>
      </c>
      <c r="T47" s="980"/>
      <c r="U47" s="981" t="str">
        <f t="shared" si="4"/>
        <v/>
      </c>
      <c r="V47" s="948"/>
    </row>
    <row r="48" spans="1:22">
      <c r="A48" s="968"/>
      <c r="B48" s="969"/>
      <c r="C48" s="969"/>
      <c r="D48" s="968"/>
      <c r="E48" s="969"/>
      <c r="F48" s="971"/>
      <c r="G48" s="984"/>
      <c r="H48" s="985"/>
      <c r="I48" s="986">
        <f t="shared" si="5"/>
        <v>0</v>
      </c>
      <c r="J48" s="975"/>
      <c r="K48" s="969"/>
      <c r="L48" s="976"/>
      <c r="M48" s="969"/>
      <c r="N48" s="977">
        <f t="shared" si="2"/>
        <v>0</v>
      </c>
      <c r="O48" s="988"/>
      <c r="P48" s="978" t="str">
        <f t="shared" si="0"/>
        <v/>
      </c>
      <c r="Q48" s="979"/>
      <c r="R48" s="989"/>
      <c r="S48" s="978" t="str">
        <f t="shared" si="3"/>
        <v/>
      </c>
      <c r="T48" s="980"/>
      <c r="U48" s="981" t="str">
        <f t="shared" si="4"/>
        <v/>
      </c>
      <c r="V48" s="948"/>
    </row>
    <row r="49" spans="1:22">
      <c r="A49" s="968"/>
      <c r="B49" s="969"/>
      <c r="C49" s="969"/>
      <c r="D49" s="968"/>
      <c r="E49" s="969"/>
      <c r="F49" s="971"/>
      <c r="G49" s="984"/>
      <c r="H49" s="985"/>
      <c r="I49" s="986">
        <f t="shared" si="5"/>
        <v>0</v>
      </c>
      <c r="J49" s="975"/>
      <c r="K49" s="969"/>
      <c r="L49" s="976"/>
      <c r="M49" s="969"/>
      <c r="N49" s="977">
        <f t="shared" si="2"/>
        <v>0</v>
      </c>
      <c r="O49" s="988"/>
      <c r="P49" s="978" t="str">
        <f t="shared" si="0"/>
        <v/>
      </c>
      <c r="Q49" s="979"/>
      <c r="R49" s="989"/>
      <c r="S49" s="978" t="str">
        <f t="shared" si="3"/>
        <v/>
      </c>
      <c r="T49" s="980"/>
      <c r="U49" s="981" t="str">
        <f t="shared" si="4"/>
        <v/>
      </c>
      <c r="V49" s="948"/>
    </row>
    <row r="50" spans="1:22">
      <c r="A50" s="968"/>
      <c r="B50" s="969"/>
      <c r="C50" s="969"/>
      <c r="D50" s="968"/>
      <c r="E50" s="969"/>
      <c r="F50" s="971"/>
      <c r="G50" s="984"/>
      <c r="H50" s="985"/>
      <c r="I50" s="986">
        <f t="shared" si="5"/>
        <v>0</v>
      </c>
      <c r="J50" s="975"/>
      <c r="K50" s="969"/>
      <c r="L50" s="976"/>
      <c r="M50" s="969"/>
      <c r="N50" s="977">
        <f t="shared" si="2"/>
        <v>0</v>
      </c>
      <c r="O50" s="988"/>
      <c r="P50" s="978" t="str">
        <f t="shared" si="0"/>
        <v/>
      </c>
      <c r="Q50" s="979"/>
      <c r="R50" s="989"/>
      <c r="S50" s="978" t="str">
        <f t="shared" si="3"/>
        <v/>
      </c>
      <c r="T50" s="980"/>
      <c r="U50" s="981" t="str">
        <f t="shared" si="4"/>
        <v/>
      </c>
      <c r="V50" s="948"/>
    </row>
    <row r="51" spans="1:22">
      <c r="A51" s="968"/>
      <c r="B51" s="969"/>
      <c r="C51" s="969"/>
      <c r="D51" s="968"/>
      <c r="E51" s="969"/>
      <c r="F51" s="971"/>
      <c r="G51" s="984"/>
      <c r="H51" s="985"/>
      <c r="I51" s="986">
        <f t="shared" si="5"/>
        <v>0</v>
      </c>
      <c r="J51" s="975"/>
      <c r="K51" s="969"/>
      <c r="L51" s="976"/>
      <c r="M51" s="969"/>
      <c r="N51" s="977">
        <f t="shared" si="2"/>
        <v>0</v>
      </c>
      <c r="O51" s="988"/>
      <c r="P51" s="978" t="str">
        <f t="shared" si="0"/>
        <v/>
      </c>
      <c r="Q51" s="979"/>
      <c r="R51" s="989"/>
      <c r="S51" s="978" t="str">
        <f t="shared" si="3"/>
        <v/>
      </c>
      <c r="T51" s="980"/>
      <c r="U51" s="981" t="str">
        <f t="shared" si="4"/>
        <v/>
      </c>
      <c r="V51" s="948"/>
    </row>
    <row r="52" spans="1:22">
      <c r="A52" s="968"/>
      <c r="B52" s="969"/>
      <c r="C52" s="969"/>
      <c r="D52" s="968"/>
      <c r="E52" s="969"/>
      <c r="F52" s="971"/>
      <c r="G52" s="984"/>
      <c r="H52" s="985"/>
      <c r="I52" s="986">
        <f t="shared" si="5"/>
        <v>0</v>
      </c>
      <c r="J52" s="975"/>
      <c r="K52" s="969"/>
      <c r="L52" s="976"/>
      <c r="M52" s="969"/>
      <c r="N52" s="977">
        <f t="shared" si="2"/>
        <v>0</v>
      </c>
      <c r="O52" s="988"/>
      <c r="P52" s="978" t="str">
        <f t="shared" si="0"/>
        <v/>
      </c>
      <c r="Q52" s="979"/>
      <c r="R52" s="989"/>
      <c r="S52" s="978" t="str">
        <f t="shared" si="3"/>
        <v/>
      </c>
      <c r="T52" s="980"/>
      <c r="U52" s="981" t="str">
        <f t="shared" si="4"/>
        <v/>
      </c>
      <c r="V52" s="948"/>
    </row>
    <row r="53" spans="1:22">
      <c r="A53" s="968"/>
      <c r="B53" s="969"/>
      <c r="C53" s="969"/>
      <c r="D53" s="968"/>
      <c r="E53" s="969"/>
      <c r="F53" s="971"/>
      <c r="G53" s="984"/>
      <c r="H53" s="985"/>
      <c r="I53" s="986">
        <f t="shared" si="5"/>
        <v>0</v>
      </c>
      <c r="J53" s="975"/>
      <c r="K53" s="969"/>
      <c r="L53" s="976"/>
      <c r="M53" s="969"/>
      <c r="N53" s="977">
        <f t="shared" si="2"/>
        <v>0</v>
      </c>
      <c r="O53" s="988"/>
      <c r="P53" s="978" t="str">
        <f t="shared" si="0"/>
        <v/>
      </c>
      <c r="Q53" s="979"/>
      <c r="R53" s="989"/>
      <c r="S53" s="978" t="str">
        <f t="shared" si="3"/>
        <v/>
      </c>
      <c r="T53" s="980"/>
      <c r="U53" s="981" t="str">
        <f t="shared" si="4"/>
        <v/>
      </c>
      <c r="V53" s="948"/>
    </row>
    <row r="54" spans="1:22">
      <c r="A54" s="968"/>
      <c r="B54" s="969"/>
      <c r="C54" s="969"/>
      <c r="D54" s="968"/>
      <c r="E54" s="969"/>
      <c r="F54" s="971"/>
      <c r="G54" s="984"/>
      <c r="H54" s="985"/>
      <c r="I54" s="986">
        <f t="shared" si="5"/>
        <v>0</v>
      </c>
      <c r="J54" s="975"/>
      <c r="K54" s="969"/>
      <c r="L54" s="976"/>
      <c r="M54" s="969"/>
      <c r="N54" s="977">
        <f t="shared" si="2"/>
        <v>0</v>
      </c>
      <c r="O54" s="988"/>
      <c r="P54" s="978" t="str">
        <f t="shared" si="0"/>
        <v/>
      </c>
      <c r="Q54" s="979"/>
      <c r="R54" s="989"/>
      <c r="S54" s="978" t="str">
        <f t="shared" si="3"/>
        <v/>
      </c>
      <c r="T54" s="980"/>
      <c r="U54" s="981" t="str">
        <f t="shared" si="4"/>
        <v/>
      </c>
      <c r="V54" s="948"/>
    </row>
    <row r="55" spans="1:22">
      <c r="A55" s="968"/>
      <c r="B55" s="969"/>
      <c r="C55" s="969"/>
      <c r="D55" s="968"/>
      <c r="E55" s="969"/>
      <c r="F55" s="971"/>
      <c r="G55" s="984"/>
      <c r="H55" s="985"/>
      <c r="I55" s="986">
        <f t="shared" si="5"/>
        <v>0</v>
      </c>
      <c r="J55" s="975"/>
      <c r="K55" s="969"/>
      <c r="L55" s="976"/>
      <c r="M55" s="969"/>
      <c r="N55" s="977">
        <f t="shared" si="2"/>
        <v>0</v>
      </c>
      <c r="O55" s="988"/>
      <c r="P55" s="978" t="str">
        <f t="shared" si="0"/>
        <v/>
      </c>
      <c r="Q55" s="979"/>
      <c r="R55" s="989"/>
      <c r="S55" s="978" t="str">
        <f t="shared" si="3"/>
        <v/>
      </c>
      <c r="T55" s="980"/>
      <c r="U55" s="981" t="str">
        <f t="shared" si="4"/>
        <v/>
      </c>
      <c r="V55" s="948"/>
    </row>
    <row r="56" spans="1:22">
      <c r="A56" s="968"/>
      <c r="B56" s="969"/>
      <c r="C56" s="969"/>
      <c r="D56" s="968"/>
      <c r="E56" s="969"/>
      <c r="F56" s="971"/>
      <c r="G56" s="984"/>
      <c r="H56" s="985"/>
      <c r="I56" s="986">
        <f t="shared" si="5"/>
        <v>0</v>
      </c>
      <c r="J56" s="975"/>
      <c r="K56" s="969"/>
      <c r="L56" s="976"/>
      <c r="M56" s="969"/>
      <c r="N56" s="977">
        <f t="shared" si="2"/>
        <v>0</v>
      </c>
      <c r="O56" s="988"/>
      <c r="P56" s="978" t="str">
        <f t="shared" si="0"/>
        <v/>
      </c>
      <c r="Q56" s="979"/>
      <c r="R56" s="989"/>
      <c r="S56" s="978" t="str">
        <f t="shared" si="3"/>
        <v/>
      </c>
      <c r="T56" s="980"/>
      <c r="U56" s="981" t="str">
        <f t="shared" si="4"/>
        <v/>
      </c>
      <c r="V56" s="948"/>
    </row>
    <row r="57" spans="1:22">
      <c r="A57" s="968"/>
      <c r="B57" s="969"/>
      <c r="C57" s="969"/>
      <c r="D57" s="968"/>
      <c r="E57" s="969"/>
      <c r="F57" s="971"/>
      <c r="G57" s="984"/>
      <c r="H57" s="985"/>
      <c r="I57" s="986">
        <f t="shared" si="5"/>
        <v>0</v>
      </c>
      <c r="J57" s="975"/>
      <c r="K57" s="969"/>
      <c r="L57" s="976"/>
      <c r="M57" s="969"/>
      <c r="N57" s="977">
        <f t="shared" si="2"/>
        <v>0</v>
      </c>
      <c r="O57" s="988"/>
      <c r="P57" s="978" t="str">
        <f t="shared" si="0"/>
        <v/>
      </c>
      <c r="Q57" s="979"/>
      <c r="R57" s="989"/>
      <c r="S57" s="978" t="str">
        <f t="shared" si="3"/>
        <v/>
      </c>
      <c r="T57" s="980"/>
      <c r="U57" s="981" t="str">
        <f t="shared" si="4"/>
        <v/>
      </c>
      <c r="V57" s="948"/>
    </row>
    <row r="58" spans="1:22">
      <c r="A58" s="968"/>
      <c r="B58" s="969"/>
      <c r="C58" s="969"/>
      <c r="D58" s="968"/>
      <c r="E58" s="969"/>
      <c r="F58" s="971"/>
      <c r="G58" s="984"/>
      <c r="H58" s="985"/>
      <c r="I58" s="986">
        <f t="shared" si="5"/>
        <v>0</v>
      </c>
      <c r="J58" s="975"/>
      <c r="K58" s="969"/>
      <c r="L58" s="976"/>
      <c r="M58" s="969"/>
      <c r="N58" s="977">
        <f t="shared" si="2"/>
        <v>0</v>
      </c>
      <c r="O58" s="988"/>
      <c r="P58" s="978" t="str">
        <f t="shared" si="0"/>
        <v/>
      </c>
      <c r="Q58" s="979"/>
      <c r="R58" s="989"/>
      <c r="S58" s="978" t="str">
        <f t="shared" si="3"/>
        <v/>
      </c>
      <c r="T58" s="980"/>
      <c r="U58" s="981" t="str">
        <f t="shared" si="4"/>
        <v/>
      </c>
      <c r="V58" s="948"/>
    </row>
    <row r="59" spans="1:22">
      <c r="A59" s="968"/>
      <c r="B59" s="969"/>
      <c r="C59" s="969"/>
      <c r="D59" s="968"/>
      <c r="E59" s="969"/>
      <c r="F59" s="971"/>
      <c r="G59" s="984"/>
      <c r="H59" s="985"/>
      <c r="I59" s="986">
        <f t="shared" si="5"/>
        <v>0</v>
      </c>
      <c r="J59" s="975"/>
      <c r="K59" s="969"/>
      <c r="L59" s="976"/>
      <c r="M59" s="969"/>
      <c r="N59" s="977">
        <f t="shared" si="2"/>
        <v>0</v>
      </c>
      <c r="O59" s="988"/>
      <c r="P59" s="978" t="str">
        <f t="shared" si="0"/>
        <v/>
      </c>
      <c r="Q59" s="979"/>
      <c r="R59" s="989"/>
      <c r="S59" s="978" t="str">
        <f t="shared" si="3"/>
        <v/>
      </c>
      <c r="T59" s="980"/>
      <c r="U59" s="981" t="str">
        <f t="shared" si="4"/>
        <v/>
      </c>
      <c r="V59" s="948"/>
    </row>
    <row r="60" spans="1:22">
      <c r="A60" s="968"/>
      <c r="B60" s="969"/>
      <c r="C60" s="969"/>
      <c r="D60" s="968"/>
      <c r="E60" s="969"/>
      <c r="F60" s="971"/>
      <c r="G60" s="984"/>
      <c r="H60" s="985"/>
      <c r="I60" s="986">
        <f t="shared" si="5"/>
        <v>0</v>
      </c>
      <c r="J60" s="975"/>
      <c r="K60" s="969"/>
      <c r="L60" s="976"/>
      <c r="M60" s="969"/>
      <c r="N60" s="977">
        <f t="shared" si="2"/>
        <v>0</v>
      </c>
      <c r="O60" s="988"/>
      <c r="P60" s="978" t="str">
        <f t="shared" si="0"/>
        <v/>
      </c>
      <c r="Q60" s="979"/>
      <c r="R60" s="989"/>
      <c r="S60" s="978" t="str">
        <f t="shared" si="3"/>
        <v/>
      </c>
      <c r="T60" s="980"/>
      <c r="U60" s="981" t="str">
        <f t="shared" si="4"/>
        <v/>
      </c>
      <c r="V60" s="948"/>
    </row>
    <row r="61" spans="1:22">
      <c r="A61" s="968"/>
      <c r="B61" s="969"/>
      <c r="C61" s="969"/>
      <c r="D61" s="968"/>
      <c r="E61" s="969"/>
      <c r="F61" s="971"/>
      <c r="G61" s="984"/>
      <c r="H61" s="985"/>
      <c r="I61" s="986">
        <f t="shared" si="5"/>
        <v>0</v>
      </c>
      <c r="J61" s="975"/>
      <c r="K61" s="969"/>
      <c r="L61" s="976"/>
      <c r="M61" s="969"/>
      <c r="N61" s="977">
        <f t="shared" si="2"/>
        <v>0</v>
      </c>
      <c r="O61" s="988"/>
      <c r="P61" s="978" t="str">
        <f t="shared" si="0"/>
        <v/>
      </c>
      <c r="Q61" s="979"/>
      <c r="R61" s="989"/>
      <c r="S61" s="978" t="str">
        <f t="shared" si="3"/>
        <v/>
      </c>
      <c r="T61" s="980"/>
      <c r="U61" s="981" t="str">
        <f t="shared" si="4"/>
        <v/>
      </c>
      <c r="V61" s="948"/>
    </row>
    <row r="62" spans="1:22">
      <c r="A62" s="968"/>
      <c r="B62" s="969"/>
      <c r="C62" s="969"/>
      <c r="D62" s="968"/>
      <c r="E62" s="969"/>
      <c r="F62" s="971"/>
      <c r="G62" s="984"/>
      <c r="H62" s="985"/>
      <c r="I62" s="986">
        <f t="shared" si="5"/>
        <v>0</v>
      </c>
      <c r="J62" s="975"/>
      <c r="K62" s="969"/>
      <c r="L62" s="976"/>
      <c r="M62" s="969"/>
      <c r="N62" s="977">
        <f t="shared" si="2"/>
        <v>0</v>
      </c>
      <c r="O62" s="988"/>
      <c r="P62" s="978" t="str">
        <f t="shared" si="0"/>
        <v/>
      </c>
      <c r="Q62" s="979"/>
      <c r="R62" s="989"/>
      <c r="S62" s="978" t="str">
        <f t="shared" si="3"/>
        <v/>
      </c>
      <c r="T62" s="980"/>
      <c r="U62" s="981" t="str">
        <f t="shared" si="4"/>
        <v/>
      </c>
      <c r="V62" s="948"/>
    </row>
    <row r="63" spans="1:22">
      <c r="A63" s="968"/>
      <c r="B63" s="969"/>
      <c r="C63" s="969"/>
      <c r="D63" s="968"/>
      <c r="E63" s="969"/>
      <c r="F63" s="971"/>
      <c r="G63" s="984"/>
      <c r="H63" s="985"/>
      <c r="I63" s="986">
        <f t="shared" si="5"/>
        <v>0</v>
      </c>
      <c r="J63" s="975"/>
      <c r="K63" s="969"/>
      <c r="L63" s="976"/>
      <c r="M63" s="969"/>
      <c r="N63" s="977">
        <f t="shared" si="2"/>
        <v>0</v>
      </c>
      <c r="O63" s="988"/>
      <c r="P63" s="978" t="str">
        <f t="shared" si="0"/>
        <v/>
      </c>
      <c r="Q63" s="979"/>
      <c r="R63" s="989"/>
      <c r="S63" s="978" t="str">
        <f t="shared" si="3"/>
        <v/>
      </c>
      <c r="T63" s="980"/>
      <c r="U63" s="981" t="str">
        <f t="shared" si="4"/>
        <v/>
      </c>
      <c r="V63" s="948"/>
    </row>
    <row r="64" spans="1:22">
      <c r="A64" s="968"/>
      <c r="B64" s="969"/>
      <c r="C64" s="969"/>
      <c r="D64" s="968"/>
      <c r="E64" s="969"/>
      <c r="F64" s="971"/>
      <c r="G64" s="984"/>
      <c r="H64" s="985"/>
      <c r="I64" s="986">
        <f t="shared" si="5"/>
        <v>0</v>
      </c>
      <c r="J64" s="975"/>
      <c r="K64" s="969"/>
      <c r="L64" s="976"/>
      <c r="M64" s="969"/>
      <c r="N64" s="977">
        <f t="shared" si="2"/>
        <v>0</v>
      </c>
      <c r="O64" s="988"/>
      <c r="P64" s="978" t="str">
        <f t="shared" si="0"/>
        <v/>
      </c>
      <c r="Q64" s="979"/>
      <c r="R64" s="989"/>
      <c r="S64" s="978" t="str">
        <f t="shared" si="3"/>
        <v/>
      </c>
      <c r="T64" s="980"/>
      <c r="U64" s="981" t="str">
        <f t="shared" si="4"/>
        <v/>
      </c>
      <c r="V64" s="948"/>
    </row>
    <row r="65" spans="1:22">
      <c r="A65" s="968"/>
      <c r="B65" s="969"/>
      <c r="C65" s="969"/>
      <c r="D65" s="968"/>
      <c r="E65" s="969"/>
      <c r="F65" s="971"/>
      <c r="G65" s="984"/>
      <c r="H65" s="985"/>
      <c r="I65" s="986">
        <f t="shared" si="5"/>
        <v>0</v>
      </c>
      <c r="J65" s="975"/>
      <c r="K65" s="969"/>
      <c r="L65" s="976"/>
      <c r="M65" s="969"/>
      <c r="N65" s="977">
        <f t="shared" si="2"/>
        <v>0</v>
      </c>
      <c r="O65" s="988"/>
      <c r="P65" s="978" t="str">
        <f t="shared" si="0"/>
        <v/>
      </c>
      <c r="Q65" s="979"/>
      <c r="R65" s="989"/>
      <c r="S65" s="978" t="str">
        <f t="shared" si="3"/>
        <v/>
      </c>
      <c r="T65" s="980"/>
      <c r="U65" s="981" t="str">
        <f t="shared" si="4"/>
        <v/>
      </c>
      <c r="V65" s="948"/>
    </row>
    <row r="66" spans="1:22">
      <c r="A66" s="968"/>
      <c r="B66" s="969"/>
      <c r="C66" s="969"/>
      <c r="D66" s="968"/>
      <c r="E66" s="969"/>
      <c r="F66" s="971"/>
      <c r="G66" s="984"/>
      <c r="H66" s="985"/>
      <c r="I66" s="986">
        <f t="shared" si="5"/>
        <v>0</v>
      </c>
      <c r="J66" s="975"/>
      <c r="K66" s="969"/>
      <c r="L66" s="976"/>
      <c r="M66" s="969"/>
      <c r="N66" s="977">
        <f t="shared" si="2"/>
        <v>0</v>
      </c>
      <c r="O66" s="988"/>
      <c r="P66" s="978" t="str">
        <f t="shared" si="0"/>
        <v/>
      </c>
      <c r="Q66" s="979"/>
      <c r="R66" s="989"/>
      <c r="S66" s="978" t="str">
        <f t="shared" si="3"/>
        <v/>
      </c>
      <c r="T66" s="980"/>
      <c r="U66" s="981" t="str">
        <f t="shared" si="4"/>
        <v/>
      </c>
      <c r="V66" s="948"/>
    </row>
    <row r="67" spans="1:22">
      <c r="A67" s="968"/>
      <c r="B67" s="969"/>
      <c r="C67" s="969"/>
      <c r="D67" s="968"/>
      <c r="E67" s="969"/>
      <c r="F67" s="971"/>
      <c r="G67" s="984"/>
      <c r="H67" s="985"/>
      <c r="I67" s="986">
        <f t="shared" si="5"/>
        <v>0</v>
      </c>
      <c r="J67" s="975"/>
      <c r="K67" s="969"/>
      <c r="L67" s="976"/>
      <c r="M67" s="969"/>
      <c r="N67" s="977">
        <f t="shared" si="2"/>
        <v>0</v>
      </c>
      <c r="O67" s="988"/>
      <c r="P67" s="978" t="str">
        <f t="shared" si="0"/>
        <v/>
      </c>
      <c r="Q67" s="979"/>
      <c r="R67" s="989"/>
      <c r="S67" s="978" t="str">
        <f t="shared" si="3"/>
        <v/>
      </c>
      <c r="T67" s="980"/>
      <c r="U67" s="981" t="str">
        <f t="shared" si="4"/>
        <v/>
      </c>
      <c r="V67" s="948"/>
    </row>
    <row r="68" spans="1:22">
      <c r="A68" s="968"/>
      <c r="B68" s="969"/>
      <c r="C68" s="969"/>
      <c r="D68" s="968"/>
      <c r="E68" s="969"/>
      <c r="F68" s="971"/>
      <c r="G68" s="984"/>
      <c r="H68" s="985"/>
      <c r="I68" s="986">
        <f t="shared" si="5"/>
        <v>0</v>
      </c>
      <c r="J68" s="975"/>
      <c r="K68" s="969"/>
      <c r="L68" s="976"/>
      <c r="M68" s="969"/>
      <c r="N68" s="977">
        <f t="shared" si="2"/>
        <v>0</v>
      </c>
      <c r="O68" s="988"/>
      <c r="P68" s="978" t="str">
        <f t="shared" si="0"/>
        <v/>
      </c>
      <c r="Q68" s="979"/>
      <c r="R68" s="989"/>
      <c r="S68" s="978" t="str">
        <f t="shared" si="3"/>
        <v/>
      </c>
      <c r="T68" s="980"/>
      <c r="U68" s="981" t="str">
        <f t="shared" si="4"/>
        <v/>
      </c>
      <c r="V68" s="948"/>
    </row>
    <row r="69" spans="1:22">
      <c r="A69" s="968"/>
      <c r="B69" s="969"/>
      <c r="C69" s="969"/>
      <c r="D69" s="968"/>
      <c r="E69" s="969"/>
      <c r="F69" s="971"/>
      <c r="G69" s="984"/>
      <c r="H69" s="985"/>
      <c r="I69" s="986">
        <f t="shared" si="5"/>
        <v>0</v>
      </c>
      <c r="J69" s="975"/>
      <c r="K69" s="969"/>
      <c r="L69" s="976"/>
      <c r="M69" s="969"/>
      <c r="N69" s="977">
        <f t="shared" si="2"/>
        <v>0</v>
      </c>
      <c r="O69" s="988"/>
      <c r="P69" s="978" t="str">
        <f t="shared" si="0"/>
        <v/>
      </c>
      <c r="Q69" s="979"/>
      <c r="R69" s="989"/>
      <c r="S69" s="978" t="str">
        <f t="shared" si="3"/>
        <v/>
      </c>
      <c r="T69" s="980"/>
      <c r="U69" s="981" t="str">
        <f t="shared" si="4"/>
        <v/>
      </c>
      <c r="V69" s="948"/>
    </row>
    <row r="70" spans="1:22">
      <c r="A70" s="968"/>
      <c r="B70" s="969"/>
      <c r="C70" s="969"/>
      <c r="D70" s="968"/>
      <c r="E70" s="969"/>
      <c r="F70" s="971"/>
      <c r="G70" s="984"/>
      <c r="H70" s="985"/>
      <c r="I70" s="986">
        <f t="shared" si="5"/>
        <v>0</v>
      </c>
      <c r="J70" s="975"/>
      <c r="K70" s="969"/>
      <c r="L70" s="976"/>
      <c r="M70" s="969"/>
      <c r="N70" s="977">
        <f t="shared" si="2"/>
        <v>0</v>
      </c>
      <c r="O70" s="988"/>
      <c r="P70" s="978" t="str">
        <f t="shared" si="0"/>
        <v/>
      </c>
      <c r="Q70" s="979"/>
      <c r="R70" s="989"/>
      <c r="S70" s="978" t="str">
        <f t="shared" si="3"/>
        <v/>
      </c>
      <c r="T70" s="980"/>
      <c r="U70" s="981" t="str">
        <f t="shared" si="4"/>
        <v/>
      </c>
      <c r="V70" s="948"/>
    </row>
    <row r="71" spans="1:22">
      <c r="A71" s="968"/>
      <c r="B71" s="969"/>
      <c r="C71" s="969"/>
      <c r="D71" s="968"/>
      <c r="E71" s="969"/>
      <c r="F71" s="971"/>
      <c r="G71" s="984"/>
      <c r="H71" s="985"/>
      <c r="I71" s="986">
        <f t="shared" si="5"/>
        <v>0</v>
      </c>
      <c r="J71" s="975"/>
      <c r="K71" s="969"/>
      <c r="L71" s="976"/>
      <c r="M71" s="969"/>
      <c r="N71" s="977">
        <f t="shared" si="2"/>
        <v>0</v>
      </c>
      <c r="O71" s="988"/>
      <c r="P71" s="978" t="str">
        <f t="shared" ref="P71:P134" si="6">IFERROR(N71/O71,"")</f>
        <v/>
      </c>
      <c r="Q71" s="979"/>
      <c r="R71" s="989"/>
      <c r="S71" s="978" t="str">
        <f t="shared" si="3"/>
        <v/>
      </c>
      <c r="T71" s="980"/>
      <c r="U71" s="981" t="str">
        <f t="shared" si="4"/>
        <v/>
      </c>
      <c r="V71" s="948"/>
    </row>
    <row r="72" spans="1:22">
      <c r="A72" s="968"/>
      <c r="B72" s="969"/>
      <c r="C72" s="969"/>
      <c r="D72" s="968"/>
      <c r="E72" s="969"/>
      <c r="F72" s="971"/>
      <c r="G72" s="984"/>
      <c r="H72" s="985"/>
      <c r="I72" s="986">
        <f t="shared" si="5"/>
        <v>0</v>
      </c>
      <c r="J72" s="975"/>
      <c r="K72" s="969"/>
      <c r="L72" s="976"/>
      <c r="M72" s="969"/>
      <c r="N72" s="977">
        <f t="shared" ref="N72:N135" si="7">SUM(L72:M72)</f>
        <v>0</v>
      </c>
      <c r="O72" s="988"/>
      <c r="P72" s="978" t="str">
        <f t="shared" si="6"/>
        <v/>
      </c>
      <c r="Q72" s="979"/>
      <c r="R72" s="989"/>
      <c r="S72" s="978" t="str">
        <f t="shared" ref="S72:S135" si="8">IFERROR(Q72/R72,"")</f>
        <v/>
      </c>
      <c r="T72" s="980"/>
      <c r="U72" s="981" t="str">
        <f t="shared" ref="U72:U135" si="9">IFERROR(I72*J72*K72/N72*IF($U$6="Variante 1",P72,IF($U$6="Variante 2",S72,T72)),"")</f>
        <v/>
      </c>
      <c r="V72" s="948"/>
    </row>
    <row r="73" spans="1:22">
      <c r="A73" s="968"/>
      <c r="B73" s="969"/>
      <c r="C73" s="969"/>
      <c r="D73" s="968"/>
      <c r="E73" s="969"/>
      <c r="F73" s="971"/>
      <c r="G73" s="984"/>
      <c r="H73" s="985"/>
      <c r="I73" s="986">
        <f t="shared" si="5"/>
        <v>0</v>
      </c>
      <c r="J73" s="975"/>
      <c r="K73" s="969"/>
      <c r="L73" s="976"/>
      <c r="M73" s="969"/>
      <c r="N73" s="977">
        <f t="shared" si="7"/>
        <v>0</v>
      </c>
      <c r="O73" s="988"/>
      <c r="P73" s="978" t="str">
        <f t="shared" si="6"/>
        <v/>
      </c>
      <c r="Q73" s="979"/>
      <c r="R73" s="989"/>
      <c r="S73" s="978" t="str">
        <f t="shared" si="8"/>
        <v/>
      </c>
      <c r="T73" s="980"/>
      <c r="U73" s="981" t="str">
        <f t="shared" si="9"/>
        <v/>
      </c>
      <c r="V73" s="948"/>
    </row>
    <row r="74" spans="1:22">
      <c r="A74" s="968"/>
      <c r="B74" s="969"/>
      <c r="C74" s="969"/>
      <c r="D74" s="968"/>
      <c r="E74" s="969"/>
      <c r="F74" s="971"/>
      <c r="G74" s="984"/>
      <c r="H74" s="985"/>
      <c r="I74" s="986">
        <f t="shared" si="5"/>
        <v>0</v>
      </c>
      <c r="J74" s="975"/>
      <c r="K74" s="969"/>
      <c r="L74" s="976"/>
      <c r="M74" s="969"/>
      <c r="N74" s="977">
        <f t="shared" si="7"/>
        <v>0</v>
      </c>
      <c r="O74" s="988"/>
      <c r="P74" s="978" t="str">
        <f t="shared" si="6"/>
        <v/>
      </c>
      <c r="Q74" s="979"/>
      <c r="R74" s="989"/>
      <c r="S74" s="978" t="str">
        <f t="shared" si="8"/>
        <v/>
      </c>
      <c r="T74" s="980"/>
      <c r="U74" s="981" t="str">
        <f t="shared" si="9"/>
        <v/>
      </c>
      <c r="V74" s="948"/>
    </row>
    <row r="75" spans="1:22">
      <c r="A75" s="968"/>
      <c r="B75" s="969"/>
      <c r="C75" s="969"/>
      <c r="D75" s="968"/>
      <c r="E75" s="969"/>
      <c r="F75" s="971"/>
      <c r="G75" s="984"/>
      <c r="H75" s="985"/>
      <c r="I75" s="986">
        <f t="shared" si="5"/>
        <v>0</v>
      </c>
      <c r="J75" s="975"/>
      <c r="K75" s="969"/>
      <c r="L75" s="976"/>
      <c r="M75" s="969"/>
      <c r="N75" s="977">
        <f t="shared" si="7"/>
        <v>0</v>
      </c>
      <c r="O75" s="988"/>
      <c r="P75" s="978" t="str">
        <f t="shared" si="6"/>
        <v/>
      </c>
      <c r="Q75" s="979"/>
      <c r="R75" s="989"/>
      <c r="S75" s="978" t="str">
        <f t="shared" si="8"/>
        <v/>
      </c>
      <c r="T75" s="980"/>
      <c r="U75" s="981" t="str">
        <f t="shared" si="9"/>
        <v/>
      </c>
      <c r="V75" s="948"/>
    </row>
    <row r="76" spans="1:22">
      <c r="A76" s="968"/>
      <c r="B76" s="969"/>
      <c r="C76" s="969"/>
      <c r="D76" s="968"/>
      <c r="E76" s="969"/>
      <c r="F76" s="971"/>
      <c r="G76" s="984"/>
      <c r="H76" s="985"/>
      <c r="I76" s="986">
        <f t="shared" si="5"/>
        <v>0</v>
      </c>
      <c r="J76" s="975"/>
      <c r="K76" s="969"/>
      <c r="L76" s="976"/>
      <c r="M76" s="969"/>
      <c r="N76" s="977">
        <f t="shared" si="7"/>
        <v>0</v>
      </c>
      <c r="O76" s="988"/>
      <c r="P76" s="978" t="str">
        <f t="shared" si="6"/>
        <v/>
      </c>
      <c r="Q76" s="979"/>
      <c r="R76" s="989"/>
      <c r="S76" s="978" t="str">
        <f t="shared" si="8"/>
        <v/>
      </c>
      <c r="T76" s="980"/>
      <c r="U76" s="981" t="str">
        <f t="shared" si="9"/>
        <v/>
      </c>
      <c r="V76" s="948"/>
    </row>
    <row r="77" spans="1:22">
      <c r="A77" s="968"/>
      <c r="B77" s="969"/>
      <c r="C77" s="969"/>
      <c r="D77" s="968"/>
      <c r="E77" s="969"/>
      <c r="F77" s="971"/>
      <c r="G77" s="984"/>
      <c r="H77" s="985"/>
      <c r="I77" s="986">
        <f t="shared" si="5"/>
        <v>0</v>
      </c>
      <c r="J77" s="975"/>
      <c r="K77" s="969"/>
      <c r="L77" s="976"/>
      <c r="M77" s="969"/>
      <c r="N77" s="977">
        <f t="shared" si="7"/>
        <v>0</v>
      </c>
      <c r="O77" s="988"/>
      <c r="P77" s="978" t="str">
        <f t="shared" si="6"/>
        <v/>
      </c>
      <c r="Q77" s="979"/>
      <c r="R77" s="989"/>
      <c r="S77" s="978" t="str">
        <f t="shared" si="8"/>
        <v/>
      </c>
      <c r="T77" s="980"/>
      <c r="U77" s="981" t="str">
        <f t="shared" si="9"/>
        <v/>
      </c>
      <c r="V77" s="948"/>
    </row>
    <row r="78" spans="1:22">
      <c r="A78" s="968"/>
      <c r="B78" s="969"/>
      <c r="C78" s="969"/>
      <c r="D78" s="968"/>
      <c r="E78" s="969"/>
      <c r="F78" s="971"/>
      <c r="G78" s="984"/>
      <c r="H78" s="985"/>
      <c r="I78" s="986">
        <f t="shared" si="5"/>
        <v>0</v>
      </c>
      <c r="J78" s="975"/>
      <c r="K78" s="969"/>
      <c r="L78" s="976"/>
      <c r="M78" s="969"/>
      <c r="N78" s="977">
        <f t="shared" si="7"/>
        <v>0</v>
      </c>
      <c r="O78" s="988"/>
      <c r="P78" s="978" t="str">
        <f t="shared" si="6"/>
        <v/>
      </c>
      <c r="Q78" s="979"/>
      <c r="R78" s="989"/>
      <c r="S78" s="978" t="str">
        <f t="shared" si="8"/>
        <v/>
      </c>
      <c r="T78" s="980"/>
      <c r="U78" s="981" t="str">
        <f t="shared" si="9"/>
        <v/>
      </c>
      <c r="V78" s="948"/>
    </row>
    <row r="79" spans="1:22">
      <c r="A79" s="968"/>
      <c r="B79" s="969"/>
      <c r="C79" s="969"/>
      <c r="D79" s="968"/>
      <c r="E79" s="969"/>
      <c r="F79" s="971"/>
      <c r="G79" s="984"/>
      <c r="H79" s="985"/>
      <c r="I79" s="986">
        <f t="shared" si="5"/>
        <v>0</v>
      </c>
      <c r="J79" s="975"/>
      <c r="K79" s="969"/>
      <c r="L79" s="976"/>
      <c r="M79" s="969"/>
      <c r="N79" s="977">
        <f t="shared" si="7"/>
        <v>0</v>
      </c>
      <c r="O79" s="988"/>
      <c r="P79" s="978" t="str">
        <f t="shared" si="6"/>
        <v/>
      </c>
      <c r="Q79" s="979"/>
      <c r="R79" s="989"/>
      <c r="S79" s="978" t="str">
        <f t="shared" si="8"/>
        <v/>
      </c>
      <c r="T79" s="980"/>
      <c r="U79" s="981" t="str">
        <f t="shared" si="9"/>
        <v/>
      </c>
      <c r="V79" s="948"/>
    </row>
    <row r="80" spans="1:22">
      <c r="A80" s="968"/>
      <c r="B80" s="969"/>
      <c r="C80" s="969"/>
      <c r="D80" s="968"/>
      <c r="E80" s="969"/>
      <c r="F80" s="971"/>
      <c r="G80" s="984"/>
      <c r="H80" s="985"/>
      <c r="I80" s="986">
        <f t="shared" si="5"/>
        <v>0</v>
      </c>
      <c r="J80" s="975"/>
      <c r="K80" s="969"/>
      <c r="L80" s="976"/>
      <c r="M80" s="969"/>
      <c r="N80" s="977">
        <f t="shared" si="7"/>
        <v>0</v>
      </c>
      <c r="O80" s="988"/>
      <c r="P80" s="978" t="str">
        <f t="shared" si="6"/>
        <v/>
      </c>
      <c r="Q80" s="979"/>
      <c r="R80" s="989"/>
      <c r="S80" s="978" t="str">
        <f t="shared" si="8"/>
        <v/>
      </c>
      <c r="T80" s="980"/>
      <c r="U80" s="981" t="str">
        <f t="shared" si="9"/>
        <v/>
      </c>
      <c r="V80" s="948"/>
    </row>
    <row r="81" spans="1:22">
      <c r="A81" s="968"/>
      <c r="B81" s="969"/>
      <c r="C81" s="969"/>
      <c r="D81" s="968"/>
      <c r="E81" s="969"/>
      <c r="F81" s="971"/>
      <c r="G81" s="984"/>
      <c r="H81" s="985"/>
      <c r="I81" s="986">
        <f t="shared" si="5"/>
        <v>0</v>
      </c>
      <c r="J81" s="975"/>
      <c r="K81" s="969"/>
      <c r="L81" s="976"/>
      <c r="M81" s="969"/>
      <c r="N81" s="977">
        <f t="shared" si="7"/>
        <v>0</v>
      </c>
      <c r="O81" s="988"/>
      <c r="P81" s="978" t="str">
        <f t="shared" si="6"/>
        <v/>
      </c>
      <c r="Q81" s="979"/>
      <c r="R81" s="989"/>
      <c r="S81" s="978" t="str">
        <f t="shared" si="8"/>
        <v/>
      </c>
      <c r="T81" s="980"/>
      <c r="U81" s="981" t="str">
        <f t="shared" si="9"/>
        <v/>
      </c>
      <c r="V81" s="948"/>
    </row>
    <row r="82" spans="1:22">
      <c r="A82" s="968"/>
      <c r="B82" s="969"/>
      <c r="C82" s="969"/>
      <c r="D82" s="968"/>
      <c r="E82" s="969"/>
      <c r="F82" s="971"/>
      <c r="G82" s="984"/>
      <c r="H82" s="985"/>
      <c r="I82" s="986">
        <f t="shared" si="5"/>
        <v>0</v>
      </c>
      <c r="J82" s="975"/>
      <c r="K82" s="969"/>
      <c r="L82" s="976"/>
      <c r="M82" s="969"/>
      <c r="N82" s="977">
        <f t="shared" si="7"/>
        <v>0</v>
      </c>
      <c r="O82" s="988"/>
      <c r="P82" s="978" t="str">
        <f t="shared" si="6"/>
        <v/>
      </c>
      <c r="Q82" s="979"/>
      <c r="R82" s="989"/>
      <c r="S82" s="978" t="str">
        <f t="shared" si="8"/>
        <v/>
      </c>
      <c r="T82" s="980"/>
      <c r="U82" s="981" t="str">
        <f t="shared" si="9"/>
        <v/>
      </c>
      <c r="V82" s="948"/>
    </row>
    <row r="83" spans="1:22">
      <c r="A83" s="968"/>
      <c r="B83" s="969"/>
      <c r="C83" s="969"/>
      <c r="D83" s="968"/>
      <c r="E83" s="969"/>
      <c r="F83" s="971"/>
      <c r="G83" s="984"/>
      <c r="H83" s="985"/>
      <c r="I83" s="986">
        <f t="shared" si="5"/>
        <v>0</v>
      </c>
      <c r="J83" s="975"/>
      <c r="K83" s="969"/>
      <c r="L83" s="976"/>
      <c r="M83" s="969"/>
      <c r="N83" s="977">
        <f t="shared" si="7"/>
        <v>0</v>
      </c>
      <c r="O83" s="988"/>
      <c r="P83" s="978" t="str">
        <f t="shared" si="6"/>
        <v/>
      </c>
      <c r="Q83" s="979"/>
      <c r="R83" s="989"/>
      <c r="S83" s="978" t="str">
        <f t="shared" si="8"/>
        <v/>
      </c>
      <c r="T83" s="980"/>
      <c r="U83" s="981" t="str">
        <f t="shared" si="9"/>
        <v/>
      </c>
      <c r="V83" s="948"/>
    </row>
    <row r="84" spans="1:22">
      <c r="A84" s="968"/>
      <c r="B84" s="969"/>
      <c r="C84" s="969"/>
      <c r="D84" s="968"/>
      <c r="E84" s="969"/>
      <c r="F84" s="971"/>
      <c r="G84" s="984"/>
      <c r="H84" s="985"/>
      <c r="I84" s="986">
        <f t="shared" si="5"/>
        <v>0</v>
      </c>
      <c r="J84" s="975"/>
      <c r="K84" s="969"/>
      <c r="L84" s="976"/>
      <c r="M84" s="969"/>
      <c r="N84" s="977">
        <f t="shared" si="7"/>
        <v>0</v>
      </c>
      <c r="O84" s="988"/>
      <c r="P84" s="978" t="str">
        <f t="shared" si="6"/>
        <v/>
      </c>
      <c r="Q84" s="979"/>
      <c r="R84" s="989"/>
      <c r="S84" s="978" t="str">
        <f t="shared" si="8"/>
        <v/>
      </c>
      <c r="T84" s="980"/>
      <c r="U84" s="981" t="str">
        <f t="shared" si="9"/>
        <v/>
      </c>
      <c r="V84" s="948"/>
    </row>
    <row r="85" spans="1:22">
      <c r="A85" s="968"/>
      <c r="B85" s="969"/>
      <c r="C85" s="969"/>
      <c r="D85" s="968"/>
      <c r="E85" s="969"/>
      <c r="F85" s="971"/>
      <c r="G85" s="984"/>
      <c r="H85" s="985"/>
      <c r="I85" s="986">
        <f t="shared" si="5"/>
        <v>0</v>
      </c>
      <c r="J85" s="975"/>
      <c r="K85" s="969"/>
      <c r="L85" s="976"/>
      <c r="M85" s="969"/>
      <c r="N85" s="977">
        <f t="shared" si="7"/>
        <v>0</v>
      </c>
      <c r="O85" s="988"/>
      <c r="P85" s="978" t="str">
        <f t="shared" si="6"/>
        <v/>
      </c>
      <c r="Q85" s="979"/>
      <c r="R85" s="989"/>
      <c r="S85" s="978" t="str">
        <f t="shared" si="8"/>
        <v/>
      </c>
      <c r="T85" s="980"/>
      <c r="U85" s="981" t="str">
        <f t="shared" si="9"/>
        <v/>
      </c>
      <c r="V85" s="948"/>
    </row>
    <row r="86" spans="1:22">
      <c r="A86" s="968"/>
      <c r="B86" s="969"/>
      <c r="C86" s="969"/>
      <c r="D86" s="968"/>
      <c r="E86" s="969"/>
      <c r="F86" s="971"/>
      <c r="G86" s="984"/>
      <c r="H86" s="985"/>
      <c r="I86" s="986">
        <f t="shared" si="5"/>
        <v>0</v>
      </c>
      <c r="J86" s="975"/>
      <c r="K86" s="969"/>
      <c r="L86" s="976"/>
      <c r="M86" s="969"/>
      <c r="N86" s="977">
        <f t="shared" si="7"/>
        <v>0</v>
      </c>
      <c r="O86" s="988"/>
      <c r="P86" s="978" t="str">
        <f t="shared" si="6"/>
        <v/>
      </c>
      <c r="Q86" s="979"/>
      <c r="R86" s="989"/>
      <c r="S86" s="978" t="str">
        <f t="shared" si="8"/>
        <v/>
      </c>
      <c r="T86" s="980"/>
      <c r="U86" s="981" t="str">
        <f t="shared" si="9"/>
        <v/>
      </c>
      <c r="V86" s="948"/>
    </row>
    <row r="87" spans="1:22">
      <c r="A87" s="968"/>
      <c r="B87" s="969"/>
      <c r="C87" s="969"/>
      <c r="D87" s="968"/>
      <c r="E87" s="969"/>
      <c r="F87" s="971"/>
      <c r="G87" s="984"/>
      <c r="H87" s="985"/>
      <c r="I87" s="986">
        <f t="shared" si="5"/>
        <v>0</v>
      </c>
      <c r="J87" s="975"/>
      <c r="K87" s="969"/>
      <c r="L87" s="976"/>
      <c r="M87" s="969"/>
      <c r="N87" s="977">
        <f t="shared" si="7"/>
        <v>0</v>
      </c>
      <c r="O87" s="988"/>
      <c r="P87" s="978" t="str">
        <f t="shared" si="6"/>
        <v/>
      </c>
      <c r="Q87" s="979"/>
      <c r="R87" s="989"/>
      <c r="S87" s="978" t="str">
        <f t="shared" si="8"/>
        <v/>
      </c>
      <c r="T87" s="980"/>
      <c r="U87" s="981" t="str">
        <f t="shared" si="9"/>
        <v/>
      </c>
      <c r="V87" s="948"/>
    </row>
    <row r="88" spans="1:22">
      <c r="A88" s="968"/>
      <c r="B88" s="969"/>
      <c r="C88" s="969"/>
      <c r="D88" s="968"/>
      <c r="E88" s="969"/>
      <c r="F88" s="971"/>
      <c r="G88" s="984"/>
      <c r="H88" s="985"/>
      <c r="I88" s="986">
        <f t="shared" ref="I88:I151" si="10">SUM(G88:H88)</f>
        <v>0</v>
      </c>
      <c r="J88" s="975"/>
      <c r="K88" s="969"/>
      <c r="L88" s="976"/>
      <c r="M88" s="969"/>
      <c r="N88" s="977">
        <f t="shared" si="7"/>
        <v>0</v>
      </c>
      <c r="O88" s="988"/>
      <c r="P88" s="978" t="str">
        <f t="shared" si="6"/>
        <v/>
      </c>
      <c r="Q88" s="979"/>
      <c r="R88" s="989"/>
      <c r="S88" s="978" t="str">
        <f t="shared" si="8"/>
        <v/>
      </c>
      <c r="T88" s="980"/>
      <c r="U88" s="981" t="str">
        <f t="shared" si="9"/>
        <v/>
      </c>
      <c r="V88" s="948"/>
    </row>
    <row r="89" spans="1:22">
      <c r="A89" s="968"/>
      <c r="B89" s="969"/>
      <c r="C89" s="969"/>
      <c r="D89" s="968"/>
      <c r="E89" s="969"/>
      <c r="F89" s="971"/>
      <c r="G89" s="984"/>
      <c r="H89" s="985"/>
      <c r="I89" s="986">
        <f t="shared" si="10"/>
        <v>0</v>
      </c>
      <c r="J89" s="975"/>
      <c r="K89" s="969"/>
      <c r="L89" s="976"/>
      <c r="M89" s="969"/>
      <c r="N89" s="977">
        <f t="shared" si="7"/>
        <v>0</v>
      </c>
      <c r="O89" s="988"/>
      <c r="P89" s="978" t="str">
        <f t="shared" si="6"/>
        <v/>
      </c>
      <c r="Q89" s="979"/>
      <c r="R89" s="989"/>
      <c r="S89" s="978" t="str">
        <f t="shared" si="8"/>
        <v/>
      </c>
      <c r="T89" s="980"/>
      <c r="U89" s="981" t="str">
        <f t="shared" si="9"/>
        <v/>
      </c>
      <c r="V89" s="948"/>
    </row>
    <row r="90" spans="1:22">
      <c r="A90" s="968"/>
      <c r="B90" s="969"/>
      <c r="C90" s="969"/>
      <c r="D90" s="968"/>
      <c r="E90" s="969"/>
      <c r="F90" s="971"/>
      <c r="G90" s="984"/>
      <c r="H90" s="985"/>
      <c r="I90" s="986">
        <f t="shared" si="10"/>
        <v>0</v>
      </c>
      <c r="J90" s="975"/>
      <c r="K90" s="969"/>
      <c r="L90" s="976"/>
      <c r="M90" s="969"/>
      <c r="N90" s="977">
        <f t="shared" si="7"/>
        <v>0</v>
      </c>
      <c r="O90" s="988"/>
      <c r="P90" s="978" t="str">
        <f t="shared" si="6"/>
        <v/>
      </c>
      <c r="Q90" s="979"/>
      <c r="R90" s="989"/>
      <c r="S90" s="978" t="str">
        <f t="shared" si="8"/>
        <v/>
      </c>
      <c r="T90" s="980"/>
      <c r="U90" s="981" t="str">
        <f t="shared" si="9"/>
        <v/>
      </c>
      <c r="V90" s="948"/>
    </row>
    <row r="91" spans="1:22">
      <c r="A91" s="968"/>
      <c r="B91" s="969"/>
      <c r="C91" s="969"/>
      <c r="D91" s="968"/>
      <c r="E91" s="969"/>
      <c r="F91" s="971"/>
      <c r="G91" s="984"/>
      <c r="H91" s="985"/>
      <c r="I91" s="986">
        <f t="shared" si="10"/>
        <v>0</v>
      </c>
      <c r="J91" s="975"/>
      <c r="K91" s="969"/>
      <c r="L91" s="976"/>
      <c r="M91" s="969"/>
      <c r="N91" s="977">
        <f t="shared" si="7"/>
        <v>0</v>
      </c>
      <c r="O91" s="988"/>
      <c r="P91" s="978" t="str">
        <f t="shared" si="6"/>
        <v/>
      </c>
      <c r="Q91" s="979"/>
      <c r="R91" s="989"/>
      <c r="S91" s="978" t="str">
        <f t="shared" si="8"/>
        <v/>
      </c>
      <c r="T91" s="980"/>
      <c r="U91" s="981" t="str">
        <f t="shared" si="9"/>
        <v/>
      </c>
      <c r="V91" s="948"/>
    </row>
    <row r="92" spans="1:22">
      <c r="A92" s="968"/>
      <c r="B92" s="969"/>
      <c r="C92" s="969"/>
      <c r="D92" s="968"/>
      <c r="E92" s="969"/>
      <c r="F92" s="971"/>
      <c r="G92" s="984"/>
      <c r="H92" s="985"/>
      <c r="I92" s="986">
        <f t="shared" si="10"/>
        <v>0</v>
      </c>
      <c r="J92" s="975"/>
      <c r="K92" s="969"/>
      <c r="L92" s="976"/>
      <c r="M92" s="969"/>
      <c r="N92" s="977">
        <f t="shared" si="7"/>
        <v>0</v>
      </c>
      <c r="O92" s="988"/>
      <c r="P92" s="978" t="str">
        <f t="shared" si="6"/>
        <v/>
      </c>
      <c r="Q92" s="979"/>
      <c r="R92" s="989"/>
      <c r="S92" s="978" t="str">
        <f t="shared" si="8"/>
        <v/>
      </c>
      <c r="T92" s="980"/>
      <c r="U92" s="981" t="str">
        <f t="shared" si="9"/>
        <v/>
      </c>
      <c r="V92" s="948"/>
    </row>
    <row r="93" spans="1:22">
      <c r="A93" s="968"/>
      <c r="B93" s="969"/>
      <c r="C93" s="969"/>
      <c r="D93" s="968"/>
      <c r="E93" s="969"/>
      <c r="F93" s="971"/>
      <c r="G93" s="984"/>
      <c r="H93" s="985"/>
      <c r="I93" s="986">
        <f t="shared" si="10"/>
        <v>0</v>
      </c>
      <c r="J93" s="975"/>
      <c r="K93" s="969"/>
      <c r="L93" s="976"/>
      <c r="M93" s="969"/>
      <c r="N93" s="977">
        <f t="shared" si="7"/>
        <v>0</v>
      </c>
      <c r="O93" s="988"/>
      <c r="P93" s="978" t="str">
        <f t="shared" si="6"/>
        <v/>
      </c>
      <c r="Q93" s="979"/>
      <c r="R93" s="989"/>
      <c r="S93" s="978" t="str">
        <f t="shared" si="8"/>
        <v/>
      </c>
      <c r="T93" s="980"/>
      <c r="U93" s="981" t="str">
        <f t="shared" si="9"/>
        <v/>
      </c>
      <c r="V93" s="948"/>
    </row>
    <row r="94" spans="1:22">
      <c r="A94" s="968"/>
      <c r="B94" s="969"/>
      <c r="C94" s="969"/>
      <c r="D94" s="968"/>
      <c r="E94" s="969"/>
      <c r="F94" s="971"/>
      <c r="G94" s="984"/>
      <c r="H94" s="985"/>
      <c r="I94" s="986">
        <f t="shared" si="10"/>
        <v>0</v>
      </c>
      <c r="J94" s="975"/>
      <c r="K94" s="969"/>
      <c r="L94" s="976"/>
      <c r="M94" s="969"/>
      <c r="N94" s="977">
        <f t="shared" si="7"/>
        <v>0</v>
      </c>
      <c r="O94" s="988"/>
      <c r="P94" s="978" t="str">
        <f t="shared" si="6"/>
        <v/>
      </c>
      <c r="Q94" s="979"/>
      <c r="R94" s="989"/>
      <c r="S94" s="978" t="str">
        <f t="shared" si="8"/>
        <v/>
      </c>
      <c r="T94" s="980"/>
      <c r="U94" s="981" t="str">
        <f t="shared" si="9"/>
        <v/>
      </c>
      <c r="V94" s="948"/>
    </row>
    <row r="95" spans="1:22">
      <c r="A95" s="968"/>
      <c r="B95" s="969"/>
      <c r="C95" s="969"/>
      <c r="D95" s="968"/>
      <c r="E95" s="969"/>
      <c r="F95" s="971"/>
      <c r="G95" s="984"/>
      <c r="H95" s="985"/>
      <c r="I95" s="986">
        <f t="shared" si="10"/>
        <v>0</v>
      </c>
      <c r="J95" s="975"/>
      <c r="K95" s="969"/>
      <c r="L95" s="976"/>
      <c r="M95" s="969"/>
      <c r="N95" s="977">
        <f t="shared" si="7"/>
        <v>0</v>
      </c>
      <c r="O95" s="988"/>
      <c r="P95" s="978" t="str">
        <f t="shared" si="6"/>
        <v/>
      </c>
      <c r="Q95" s="979"/>
      <c r="R95" s="989"/>
      <c r="S95" s="978" t="str">
        <f t="shared" si="8"/>
        <v/>
      </c>
      <c r="T95" s="980"/>
      <c r="U95" s="981" t="str">
        <f t="shared" si="9"/>
        <v/>
      </c>
      <c r="V95" s="948"/>
    </row>
    <row r="96" spans="1:22">
      <c r="A96" s="968"/>
      <c r="B96" s="969"/>
      <c r="C96" s="969"/>
      <c r="D96" s="968"/>
      <c r="E96" s="969"/>
      <c r="F96" s="971"/>
      <c r="G96" s="984"/>
      <c r="H96" s="985"/>
      <c r="I96" s="986">
        <f t="shared" si="10"/>
        <v>0</v>
      </c>
      <c r="J96" s="975"/>
      <c r="K96" s="969"/>
      <c r="L96" s="976"/>
      <c r="M96" s="969"/>
      <c r="N96" s="977">
        <f t="shared" si="7"/>
        <v>0</v>
      </c>
      <c r="O96" s="988"/>
      <c r="P96" s="978" t="str">
        <f t="shared" si="6"/>
        <v/>
      </c>
      <c r="Q96" s="979"/>
      <c r="R96" s="989"/>
      <c r="S96" s="978" t="str">
        <f t="shared" si="8"/>
        <v/>
      </c>
      <c r="T96" s="980"/>
      <c r="U96" s="981" t="str">
        <f t="shared" si="9"/>
        <v/>
      </c>
      <c r="V96" s="948"/>
    </row>
    <row r="97" spans="1:22">
      <c r="A97" s="968"/>
      <c r="B97" s="969"/>
      <c r="C97" s="969"/>
      <c r="D97" s="968"/>
      <c r="E97" s="969"/>
      <c r="F97" s="971"/>
      <c r="G97" s="984"/>
      <c r="H97" s="985"/>
      <c r="I97" s="986">
        <f t="shared" si="10"/>
        <v>0</v>
      </c>
      <c r="J97" s="975"/>
      <c r="K97" s="969"/>
      <c r="L97" s="976"/>
      <c r="M97" s="969"/>
      <c r="N97" s="977">
        <f t="shared" si="7"/>
        <v>0</v>
      </c>
      <c r="O97" s="988"/>
      <c r="P97" s="978" t="str">
        <f t="shared" si="6"/>
        <v/>
      </c>
      <c r="Q97" s="979"/>
      <c r="R97" s="989"/>
      <c r="S97" s="978" t="str">
        <f t="shared" si="8"/>
        <v/>
      </c>
      <c r="T97" s="980"/>
      <c r="U97" s="981" t="str">
        <f t="shared" si="9"/>
        <v/>
      </c>
      <c r="V97" s="948"/>
    </row>
    <row r="98" spans="1:22">
      <c r="A98" s="968"/>
      <c r="B98" s="969"/>
      <c r="C98" s="969"/>
      <c r="D98" s="968"/>
      <c r="E98" s="969"/>
      <c r="F98" s="971"/>
      <c r="G98" s="984"/>
      <c r="H98" s="985"/>
      <c r="I98" s="986">
        <f t="shared" si="10"/>
        <v>0</v>
      </c>
      <c r="J98" s="975"/>
      <c r="K98" s="969"/>
      <c r="L98" s="976"/>
      <c r="M98" s="969"/>
      <c r="N98" s="977">
        <f t="shared" si="7"/>
        <v>0</v>
      </c>
      <c r="O98" s="988"/>
      <c r="P98" s="978" t="str">
        <f t="shared" si="6"/>
        <v/>
      </c>
      <c r="Q98" s="979"/>
      <c r="R98" s="989"/>
      <c r="S98" s="978" t="str">
        <f t="shared" si="8"/>
        <v/>
      </c>
      <c r="T98" s="980"/>
      <c r="U98" s="981" t="str">
        <f t="shared" si="9"/>
        <v/>
      </c>
      <c r="V98" s="948"/>
    </row>
    <row r="99" spans="1:22">
      <c r="A99" s="968"/>
      <c r="B99" s="969"/>
      <c r="C99" s="969"/>
      <c r="D99" s="968"/>
      <c r="E99" s="969"/>
      <c r="F99" s="971"/>
      <c r="G99" s="984"/>
      <c r="H99" s="985"/>
      <c r="I99" s="986">
        <f t="shared" si="10"/>
        <v>0</v>
      </c>
      <c r="J99" s="975"/>
      <c r="K99" s="969"/>
      <c r="L99" s="976"/>
      <c r="M99" s="969"/>
      <c r="N99" s="977">
        <f t="shared" si="7"/>
        <v>0</v>
      </c>
      <c r="O99" s="988"/>
      <c r="P99" s="978" t="str">
        <f t="shared" si="6"/>
        <v/>
      </c>
      <c r="Q99" s="979"/>
      <c r="R99" s="989"/>
      <c r="S99" s="978" t="str">
        <f t="shared" si="8"/>
        <v/>
      </c>
      <c r="T99" s="980"/>
      <c r="U99" s="981" t="str">
        <f t="shared" si="9"/>
        <v/>
      </c>
      <c r="V99" s="948"/>
    </row>
    <row r="100" spans="1:22">
      <c r="A100" s="968"/>
      <c r="B100" s="969"/>
      <c r="C100" s="969"/>
      <c r="D100" s="968"/>
      <c r="E100" s="969"/>
      <c r="F100" s="971"/>
      <c r="G100" s="984"/>
      <c r="H100" s="985"/>
      <c r="I100" s="986">
        <f t="shared" si="10"/>
        <v>0</v>
      </c>
      <c r="J100" s="975"/>
      <c r="K100" s="969"/>
      <c r="L100" s="976"/>
      <c r="M100" s="969"/>
      <c r="N100" s="977">
        <f t="shared" si="7"/>
        <v>0</v>
      </c>
      <c r="O100" s="988"/>
      <c r="P100" s="978" t="str">
        <f t="shared" si="6"/>
        <v/>
      </c>
      <c r="Q100" s="979"/>
      <c r="R100" s="989"/>
      <c r="S100" s="978" t="str">
        <f t="shared" si="8"/>
        <v/>
      </c>
      <c r="T100" s="980"/>
      <c r="U100" s="981" t="str">
        <f t="shared" si="9"/>
        <v/>
      </c>
      <c r="V100" s="948"/>
    </row>
    <row r="101" spans="1:22">
      <c r="A101" s="968"/>
      <c r="B101" s="969"/>
      <c r="C101" s="969"/>
      <c r="D101" s="968"/>
      <c r="E101" s="969"/>
      <c r="F101" s="971"/>
      <c r="G101" s="984"/>
      <c r="H101" s="985"/>
      <c r="I101" s="986">
        <f t="shared" si="10"/>
        <v>0</v>
      </c>
      <c r="J101" s="975"/>
      <c r="K101" s="969"/>
      <c r="L101" s="976"/>
      <c r="M101" s="969"/>
      <c r="N101" s="977">
        <f t="shared" si="7"/>
        <v>0</v>
      </c>
      <c r="O101" s="988"/>
      <c r="P101" s="978" t="str">
        <f t="shared" si="6"/>
        <v/>
      </c>
      <c r="Q101" s="979"/>
      <c r="R101" s="989"/>
      <c r="S101" s="978" t="str">
        <f t="shared" si="8"/>
        <v/>
      </c>
      <c r="T101" s="980"/>
      <c r="U101" s="981" t="str">
        <f t="shared" si="9"/>
        <v/>
      </c>
      <c r="V101" s="948"/>
    </row>
    <row r="102" spans="1:22">
      <c r="A102" s="968"/>
      <c r="B102" s="969"/>
      <c r="C102" s="969"/>
      <c r="D102" s="968"/>
      <c r="E102" s="969"/>
      <c r="F102" s="971"/>
      <c r="G102" s="984"/>
      <c r="H102" s="985"/>
      <c r="I102" s="986">
        <f t="shared" si="10"/>
        <v>0</v>
      </c>
      <c r="J102" s="975"/>
      <c r="K102" s="969"/>
      <c r="L102" s="976"/>
      <c r="M102" s="969"/>
      <c r="N102" s="977">
        <f t="shared" si="7"/>
        <v>0</v>
      </c>
      <c r="O102" s="988"/>
      <c r="P102" s="978" t="str">
        <f t="shared" si="6"/>
        <v/>
      </c>
      <c r="Q102" s="979"/>
      <c r="R102" s="989"/>
      <c r="S102" s="978" t="str">
        <f t="shared" si="8"/>
        <v/>
      </c>
      <c r="T102" s="980"/>
      <c r="U102" s="981" t="str">
        <f t="shared" si="9"/>
        <v/>
      </c>
      <c r="V102" s="948"/>
    </row>
    <row r="103" spans="1:22">
      <c r="A103" s="968"/>
      <c r="B103" s="969"/>
      <c r="C103" s="969"/>
      <c r="D103" s="968"/>
      <c r="E103" s="969"/>
      <c r="F103" s="971"/>
      <c r="G103" s="984"/>
      <c r="H103" s="985"/>
      <c r="I103" s="986">
        <f t="shared" si="10"/>
        <v>0</v>
      </c>
      <c r="J103" s="975"/>
      <c r="K103" s="969"/>
      <c r="L103" s="976"/>
      <c r="M103" s="969"/>
      <c r="N103" s="977">
        <f t="shared" si="7"/>
        <v>0</v>
      </c>
      <c r="O103" s="988"/>
      <c r="P103" s="978" t="str">
        <f t="shared" si="6"/>
        <v/>
      </c>
      <c r="Q103" s="979"/>
      <c r="R103" s="989"/>
      <c r="S103" s="978" t="str">
        <f t="shared" si="8"/>
        <v/>
      </c>
      <c r="T103" s="980"/>
      <c r="U103" s="981" t="str">
        <f t="shared" si="9"/>
        <v/>
      </c>
      <c r="V103" s="948"/>
    </row>
    <row r="104" spans="1:22">
      <c r="A104" s="968"/>
      <c r="B104" s="969"/>
      <c r="C104" s="969"/>
      <c r="D104" s="968"/>
      <c r="E104" s="969"/>
      <c r="F104" s="971"/>
      <c r="G104" s="984"/>
      <c r="H104" s="985"/>
      <c r="I104" s="986">
        <f t="shared" si="10"/>
        <v>0</v>
      </c>
      <c r="J104" s="975"/>
      <c r="K104" s="969"/>
      <c r="L104" s="976"/>
      <c r="M104" s="969"/>
      <c r="N104" s="977">
        <f t="shared" si="7"/>
        <v>0</v>
      </c>
      <c r="O104" s="988"/>
      <c r="P104" s="978" t="str">
        <f t="shared" si="6"/>
        <v/>
      </c>
      <c r="Q104" s="979"/>
      <c r="R104" s="989"/>
      <c r="S104" s="978" t="str">
        <f t="shared" si="8"/>
        <v/>
      </c>
      <c r="T104" s="980"/>
      <c r="U104" s="981" t="str">
        <f t="shared" si="9"/>
        <v/>
      </c>
      <c r="V104" s="948"/>
    </row>
    <row r="105" spans="1:22">
      <c r="A105" s="968"/>
      <c r="B105" s="969"/>
      <c r="C105" s="969"/>
      <c r="D105" s="968"/>
      <c r="E105" s="969"/>
      <c r="F105" s="971"/>
      <c r="G105" s="984"/>
      <c r="H105" s="985"/>
      <c r="I105" s="986">
        <f t="shared" si="10"/>
        <v>0</v>
      </c>
      <c r="J105" s="975"/>
      <c r="K105" s="969"/>
      <c r="L105" s="976"/>
      <c r="M105" s="969"/>
      <c r="N105" s="977">
        <f t="shared" si="7"/>
        <v>0</v>
      </c>
      <c r="O105" s="988"/>
      <c r="P105" s="978" t="str">
        <f t="shared" si="6"/>
        <v/>
      </c>
      <c r="Q105" s="979"/>
      <c r="R105" s="989"/>
      <c r="S105" s="978" t="str">
        <f t="shared" si="8"/>
        <v/>
      </c>
      <c r="T105" s="980"/>
      <c r="U105" s="981" t="str">
        <f t="shared" si="9"/>
        <v/>
      </c>
      <c r="V105" s="948"/>
    </row>
    <row r="106" spans="1:22">
      <c r="A106" s="968"/>
      <c r="B106" s="969"/>
      <c r="C106" s="969"/>
      <c r="D106" s="968"/>
      <c r="E106" s="969"/>
      <c r="F106" s="971"/>
      <c r="G106" s="984"/>
      <c r="H106" s="985"/>
      <c r="I106" s="986">
        <f t="shared" si="10"/>
        <v>0</v>
      </c>
      <c r="J106" s="975"/>
      <c r="K106" s="969"/>
      <c r="L106" s="976"/>
      <c r="M106" s="969"/>
      <c r="N106" s="977">
        <f t="shared" si="7"/>
        <v>0</v>
      </c>
      <c r="O106" s="988"/>
      <c r="P106" s="978" t="str">
        <f t="shared" si="6"/>
        <v/>
      </c>
      <c r="Q106" s="979"/>
      <c r="R106" s="989"/>
      <c r="S106" s="978" t="str">
        <f t="shared" si="8"/>
        <v/>
      </c>
      <c r="T106" s="980"/>
      <c r="U106" s="981" t="str">
        <f t="shared" si="9"/>
        <v/>
      </c>
      <c r="V106" s="948"/>
    </row>
    <row r="107" spans="1:22">
      <c r="A107" s="968"/>
      <c r="B107" s="969"/>
      <c r="C107" s="969"/>
      <c r="D107" s="968"/>
      <c r="E107" s="969"/>
      <c r="F107" s="971"/>
      <c r="G107" s="984"/>
      <c r="H107" s="985"/>
      <c r="I107" s="986">
        <f t="shared" si="10"/>
        <v>0</v>
      </c>
      <c r="J107" s="975"/>
      <c r="K107" s="969"/>
      <c r="L107" s="976"/>
      <c r="M107" s="969"/>
      <c r="N107" s="977">
        <f t="shared" si="7"/>
        <v>0</v>
      </c>
      <c r="O107" s="988"/>
      <c r="P107" s="978" t="str">
        <f t="shared" si="6"/>
        <v/>
      </c>
      <c r="Q107" s="979"/>
      <c r="R107" s="989"/>
      <c r="S107" s="978" t="str">
        <f t="shared" si="8"/>
        <v/>
      </c>
      <c r="T107" s="980"/>
      <c r="U107" s="981" t="str">
        <f t="shared" si="9"/>
        <v/>
      </c>
      <c r="V107" s="948"/>
    </row>
    <row r="108" spans="1:22">
      <c r="A108" s="968"/>
      <c r="B108" s="969"/>
      <c r="C108" s="969"/>
      <c r="D108" s="968"/>
      <c r="E108" s="969"/>
      <c r="F108" s="971"/>
      <c r="G108" s="984"/>
      <c r="H108" s="985"/>
      <c r="I108" s="986">
        <f t="shared" si="10"/>
        <v>0</v>
      </c>
      <c r="J108" s="975"/>
      <c r="K108" s="969"/>
      <c r="L108" s="976"/>
      <c r="M108" s="969"/>
      <c r="N108" s="977">
        <f t="shared" si="7"/>
        <v>0</v>
      </c>
      <c r="O108" s="988"/>
      <c r="P108" s="978" t="str">
        <f t="shared" si="6"/>
        <v/>
      </c>
      <c r="Q108" s="979"/>
      <c r="R108" s="989"/>
      <c r="S108" s="978" t="str">
        <f t="shared" si="8"/>
        <v/>
      </c>
      <c r="T108" s="980"/>
      <c r="U108" s="981" t="str">
        <f t="shared" si="9"/>
        <v/>
      </c>
      <c r="V108" s="948"/>
    </row>
    <row r="109" spans="1:22">
      <c r="A109" s="968"/>
      <c r="B109" s="969"/>
      <c r="C109" s="969"/>
      <c r="D109" s="968"/>
      <c r="E109" s="969"/>
      <c r="F109" s="971"/>
      <c r="G109" s="984"/>
      <c r="H109" s="985"/>
      <c r="I109" s="986">
        <f t="shared" si="10"/>
        <v>0</v>
      </c>
      <c r="J109" s="975"/>
      <c r="K109" s="969"/>
      <c r="L109" s="976"/>
      <c r="M109" s="969"/>
      <c r="N109" s="977">
        <f t="shared" si="7"/>
        <v>0</v>
      </c>
      <c r="O109" s="988"/>
      <c r="P109" s="978" t="str">
        <f t="shared" si="6"/>
        <v/>
      </c>
      <c r="Q109" s="979"/>
      <c r="R109" s="989"/>
      <c r="S109" s="978" t="str">
        <f t="shared" si="8"/>
        <v/>
      </c>
      <c r="T109" s="980"/>
      <c r="U109" s="981" t="str">
        <f t="shared" si="9"/>
        <v/>
      </c>
      <c r="V109" s="948"/>
    </row>
    <row r="110" spans="1:22">
      <c r="A110" s="968"/>
      <c r="B110" s="969"/>
      <c r="C110" s="969"/>
      <c r="D110" s="968"/>
      <c r="E110" s="969"/>
      <c r="F110" s="971"/>
      <c r="G110" s="984"/>
      <c r="H110" s="985"/>
      <c r="I110" s="986">
        <f t="shared" si="10"/>
        <v>0</v>
      </c>
      <c r="J110" s="975"/>
      <c r="K110" s="969"/>
      <c r="L110" s="976"/>
      <c r="M110" s="969"/>
      <c r="N110" s="977">
        <f t="shared" si="7"/>
        <v>0</v>
      </c>
      <c r="O110" s="988"/>
      <c r="P110" s="978" t="str">
        <f t="shared" si="6"/>
        <v/>
      </c>
      <c r="Q110" s="979"/>
      <c r="R110" s="989"/>
      <c r="S110" s="978" t="str">
        <f t="shared" si="8"/>
        <v/>
      </c>
      <c r="T110" s="980"/>
      <c r="U110" s="981" t="str">
        <f t="shared" si="9"/>
        <v/>
      </c>
      <c r="V110" s="948"/>
    </row>
    <row r="111" spans="1:22">
      <c r="A111" s="968"/>
      <c r="B111" s="969"/>
      <c r="C111" s="969"/>
      <c r="D111" s="968"/>
      <c r="E111" s="969"/>
      <c r="F111" s="971"/>
      <c r="G111" s="984"/>
      <c r="H111" s="985"/>
      <c r="I111" s="986">
        <f t="shared" si="10"/>
        <v>0</v>
      </c>
      <c r="J111" s="975"/>
      <c r="K111" s="969"/>
      <c r="L111" s="976"/>
      <c r="M111" s="969"/>
      <c r="N111" s="977">
        <f t="shared" si="7"/>
        <v>0</v>
      </c>
      <c r="O111" s="988"/>
      <c r="P111" s="978" t="str">
        <f t="shared" si="6"/>
        <v/>
      </c>
      <c r="Q111" s="979"/>
      <c r="R111" s="989"/>
      <c r="S111" s="978" t="str">
        <f t="shared" si="8"/>
        <v/>
      </c>
      <c r="T111" s="980"/>
      <c r="U111" s="981" t="str">
        <f t="shared" si="9"/>
        <v/>
      </c>
      <c r="V111" s="948"/>
    </row>
    <row r="112" spans="1:22">
      <c r="A112" s="968"/>
      <c r="B112" s="969"/>
      <c r="C112" s="969"/>
      <c r="D112" s="968"/>
      <c r="E112" s="969"/>
      <c r="F112" s="971"/>
      <c r="G112" s="984"/>
      <c r="H112" s="985"/>
      <c r="I112" s="986">
        <f t="shared" si="10"/>
        <v>0</v>
      </c>
      <c r="J112" s="975"/>
      <c r="K112" s="969"/>
      <c r="L112" s="976"/>
      <c r="M112" s="969"/>
      <c r="N112" s="977">
        <f t="shared" si="7"/>
        <v>0</v>
      </c>
      <c r="O112" s="988"/>
      <c r="P112" s="978" t="str">
        <f t="shared" si="6"/>
        <v/>
      </c>
      <c r="Q112" s="979"/>
      <c r="R112" s="989"/>
      <c r="S112" s="978" t="str">
        <f t="shared" si="8"/>
        <v/>
      </c>
      <c r="T112" s="980"/>
      <c r="U112" s="981" t="str">
        <f t="shared" si="9"/>
        <v/>
      </c>
      <c r="V112" s="948"/>
    </row>
    <row r="113" spans="1:22">
      <c r="A113" s="968"/>
      <c r="B113" s="969"/>
      <c r="C113" s="969"/>
      <c r="D113" s="968"/>
      <c r="E113" s="969"/>
      <c r="F113" s="971"/>
      <c r="G113" s="984"/>
      <c r="H113" s="985"/>
      <c r="I113" s="986">
        <f t="shared" si="10"/>
        <v>0</v>
      </c>
      <c r="J113" s="975"/>
      <c r="K113" s="969"/>
      <c r="L113" s="976"/>
      <c r="M113" s="969"/>
      <c r="N113" s="977">
        <f t="shared" si="7"/>
        <v>0</v>
      </c>
      <c r="O113" s="988"/>
      <c r="P113" s="978" t="str">
        <f t="shared" si="6"/>
        <v/>
      </c>
      <c r="Q113" s="979"/>
      <c r="R113" s="989"/>
      <c r="S113" s="978" t="str">
        <f t="shared" si="8"/>
        <v/>
      </c>
      <c r="T113" s="980"/>
      <c r="U113" s="981" t="str">
        <f t="shared" si="9"/>
        <v/>
      </c>
      <c r="V113" s="948"/>
    </row>
    <row r="114" spans="1:22">
      <c r="A114" s="968"/>
      <c r="B114" s="969"/>
      <c r="C114" s="969"/>
      <c r="D114" s="968"/>
      <c r="E114" s="969"/>
      <c r="F114" s="971"/>
      <c r="G114" s="984"/>
      <c r="H114" s="985"/>
      <c r="I114" s="986">
        <f t="shared" si="10"/>
        <v>0</v>
      </c>
      <c r="J114" s="975"/>
      <c r="K114" s="969"/>
      <c r="L114" s="976"/>
      <c r="M114" s="969"/>
      <c r="N114" s="977">
        <f t="shared" si="7"/>
        <v>0</v>
      </c>
      <c r="O114" s="988"/>
      <c r="P114" s="978" t="str">
        <f t="shared" si="6"/>
        <v/>
      </c>
      <c r="Q114" s="979"/>
      <c r="R114" s="989"/>
      <c r="S114" s="978" t="str">
        <f t="shared" si="8"/>
        <v/>
      </c>
      <c r="T114" s="980"/>
      <c r="U114" s="981" t="str">
        <f t="shared" si="9"/>
        <v/>
      </c>
      <c r="V114" s="948"/>
    </row>
    <row r="115" spans="1:22">
      <c r="A115" s="968"/>
      <c r="B115" s="969"/>
      <c r="C115" s="969"/>
      <c r="D115" s="968"/>
      <c r="E115" s="969"/>
      <c r="F115" s="971"/>
      <c r="G115" s="984"/>
      <c r="H115" s="985"/>
      <c r="I115" s="986">
        <f t="shared" si="10"/>
        <v>0</v>
      </c>
      <c r="J115" s="975"/>
      <c r="K115" s="969"/>
      <c r="L115" s="976"/>
      <c r="M115" s="969"/>
      <c r="N115" s="977">
        <f t="shared" si="7"/>
        <v>0</v>
      </c>
      <c r="O115" s="988"/>
      <c r="P115" s="978" t="str">
        <f t="shared" si="6"/>
        <v/>
      </c>
      <c r="Q115" s="979"/>
      <c r="R115" s="989"/>
      <c r="S115" s="978" t="str">
        <f t="shared" si="8"/>
        <v/>
      </c>
      <c r="T115" s="980"/>
      <c r="U115" s="981" t="str">
        <f t="shared" si="9"/>
        <v/>
      </c>
      <c r="V115" s="948"/>
    </row>
    <row r="116" spans="1:22">
      <c r="A116" s="968"/>
      <c r="B116" s="969"/>
      <c r="C116" s="969"/>
      <c r="D116" s="968"/>
      <c r="E116" s="969"/>
      <c r="F116" s="971"/>
      <c r="G116" s="984"/>
      <c r="H116" s="985"/>
      <c r="I116" s="986">
        <f t="shared" si="10"/>
        <v>0</v>
      </c>
      <c r="J116" s="975"/>
      <c r="K116" s="969"/>
      <c r="L116" s="976"/>
      <c r="M116" s="969"/>
      <c r="N116" s="977">
        <f t="shared" si="7"/>
        <v>0</v>
      </c>
      <c r="O116" s="988"/>
      <c r="P116" s="978" t="str">
        <f t="shared" si="6"/>
        <v/>
      </c>
      <c r="Q116" s="979"/>
      <c r="R116" s="989"/>
      <c r="S116" s="978" t="str">
        <f t="shared" si="8"/>
        <v/>
      </c>
      <c r="T116" s="980"/>
      <c r="U116" s="981" t="str">
        <f t="shared" si="9"/>
        <v/>
      </c>
      <c r="V116" s="948"/>
    </row>
    <row r="117" spans="1:22">
      <c r="A117" s="968"/>
      <c r="B117" s="969"/>
      <c r="C117" s="969"/>
      <c r="D117" s="968"/>
      <c r="E117" s="969"/>
      <c r="F117" s="971"/>
      <c r="G117" s="984"/>
      <c r="H117" s="985"/>
      <c r="I117" s="986">
        <f t="shared" si="10"/>
        <v>0</v>
      </c>
      <c r="J117" s="975"/>
      <c r="K117" s="969"/>
      <c r="L117" s="976"/>
      <c r="M117" s="969"/>
      <c r="N117" s="977">
        <f t="shared" si="7"/>
        <v>0</v>
      </c>
      <c r="O117" s="988"/>
      <c r="P117" s="978" t="str">
        <f t="shared" si="6"/>
        <v/>
      </c>
      <c r="Q117" s="979"/>
      <c r="R117" s="989"/>
      <c r="S117" s="978" t="str">
        <f t="shared" si="8"/>
        <v/>
      </c>
      <c r="T117" s="980"/>
      <c r="U117" s="981" t="str">
        <f t="shared" si="9"/>
        <v/>
      </c>
      <c r="V117" s="948"/>
    </row>
    <row r="118" spans="1:22">
      <c r="A118" s="968"/>
      <c r="B118" s="969"/>
      <c r="C118" s="969"/>
      <c r="D118" s="968"/>
      <c r="E118" s="969"/>
      <c r="F118" s="971"/>
      <c r="G118" s="984"/>
      <c r="H118" s="985"/>
      <c r="I118" s="986">
        <f t="shared" si="10"/>
        <v>0</v>
      </c>
      <c r="J118" s="975"/>
      <c r="K118" s="969"/>
      <c r="L118" s="976"/>
      <c r="M118" s="969"/>
      <c r="N118" s="977">
        <f t="shared" si="7"/>
        <v>0</v>
      </c>
      <c r="O118" s="988"/>
      <c r="P118" s="978" t="str">
        <f t="shared" si="6"/>
        <v/>
      </c>
      <c r="Q118" s="979"/>
      <c r="R118" s="989"/>
      <c r="S118" s="978" t="str">
        <f t="shared" si="8"/>
        <v/>
      </c>
      <c r="T118" s="980"/>
      <c r="U118" s="981" t="str">
        <f t="shared" si="9"/>
        <v/>
      </c>
      <c r="V118" s="948"/>
    </row>
    <row r="119" spans="1:22">
      <c r="A119" s="968"/>
      <c r="B119" s="969"/>
      <c r="C119" s="969"/>
      <c r="D119" s="968"/>
      <c r="E119" s="969"/>
      <c r="F119" s="971"/>
      <c r="G119" s="984"/>
      <c r="H119" s="985"/>
      <c r="I119" s="986">
        <f t="shared" si="10"/>
        <v>0</v>
      </c>
      <c r="J119" s="975"/>
      <c r="K119" s="969"/>
      <c r="L119" s="976"/>
      <c r="M119" s="969"/>
      <c r="N119" s="977">
        <f t="shared" si="7"/>
        <v>0</v>
      </c>
      <c r="O119" s="988"/>
      <c r="P119" s="978" t="str">
        <f t="shared" si="6"/>
        <v/>
      </c>
      <c r="Q119" s="979"/>
      <c r="R119" s="989"/>
      <c r="S119" s="978" t="str">
        <f t="shared" si="8"/>
        <v/>
      </c>
      <c r="T119" s="980"/>
      <c r="U119" s="981" t="str">
        <f t="shared" si="9"/>
        <v/>
      </c>
      <c r="V119" s="948"/>
    </row>
    <row r="120" spans="1:22">
      <c r="A120" s="968"/>
      <c r="B120" s="969"/>
      <c r="C120" s="969"/>
      <c r="D120" s="968"/>
      <c r="E120" s="969"/>
      <c r="F120" s="971"/>
      <c r="G120" s="984"/>
      <c r="H120" s="985"/>
      <c r="I120" s="986">
        <f t="shared" si="10"/>
        <v>0</v>
      </c>
      <c r="J120" s="975"/>
      <c r="K120" s="969"/>
      <c r="L120" s="976"/>
      <c r="M120" s="969"/>
      <c r="N120" s="977">
        <f t="shared" si="7"/>
        <v>0</v>
      </c>
      <c r="O120" s="988"/>
      <c r="P120" s="978" t="str">
        <f t="shared" si="6"/>
        <v/>
      </c>
      <c r="Q120" s="979"/>
      <c r="R120" s="989"/>
      <c r="S120" s="978" t="str">
        <f t="shared" si="8"/>
        <v/>
      </c>
      <c r="T120" s="980"/>
      <c r="U120" s="981" t="str">
        <f t="shared" si="9"/>
        <v/>
      </c>
      <c r="V120" s="948"/>
    </row>
    <row r="121" spans="1:22">
      <c r="A121" s="968"/>
      <c r="B121" s="969"/>
      <c r="C121" s="969"/>
      <c r="D121" s="968"/>
      <c r="E121" s="969"/>
      <c r="F121" s="971"/>
      <c r="G121" s="984"/>
      <c r="H121" s="985"/>
      <c r="I121" s="986">
        <f t="shared" si="10"/>
        <v>0</v>
      </c>
      <c r="J121" s="975"/>
      <c r="K121" s="969"/>
      <c r="L121" s="976"/>
      <c r="M121" s="969"/>
      <c r="N121" s="977">
        <f t="shared" si="7"/>
        <v>0</v>
      </c>
      <c r="O121" s="988"/>
      <c r="P121" s="978" t="str">
        <f t="shared" si="6"/>
        <v/>
      </c>
      <c r="Q121" s="979"/>
      <c r="R121" s="989"/>
      <c r="S121" s="978" t="str">
        <f t="shared" si="8"/>
        <v/>
      </c>
      <c r="T121" s="980"/>
      <c r="U121" s="981" t="str">
        <f t="shared" si="9"/>
        <v/>
      </c>
      <c r="V121" s="948"/>
    </row>
    <row r="122" spans="1:22">
      <c r="A122" s="968"/>
      <c r="B122" s="969"/>
      <c r="C122" s="969"/>
      <c r="D122" s="968"/>
      <c r="E122" s="969"/>
      <c r="F122" s="971"/>
      <c r="G122" s="984"/>
      <c r="H122" s="985"/>
      <c r="I122" s="986">
        <f t="shared" si="10"/>
        <v>0</v>
      </c>
      <c r="J122" s="975"/>
      <c r="K122" s="969"/>
      <c r="L122" s="976"/>
      <c r="M122" s="969"/>
      <c r="N122" s="977">
        <f t="shared" si="7"/>
        <v>0</v>
      </c>
      <c r="O122" s="988"/>
      <c r="P122" s="978" t="str">
        <f t="shared" si="6"/>
        <v/>
      </c>
      <c r="Q122" s="979"/>
      <c r="R122" s="989"/>
      <c r="S122" s="978" t="str">
        <f t="shared" si="8"/>
        <v/>
      </c>
      <c r="T122" s="980"/>
      <c r="U122" s="981" t="str">
        <f t="shared" si="9"/>
        <v/>
      </c>
      <c r="V122" s="948"/>
    </row>
    <row r="123" spans="1:22">
      <c r="A123" s="968"/>
      <c r="B123" s="969"/>
      <c r="C123" s="969"/>
      <c r="D123" s="968"/>
      <c r="E123" s="969"/>
      <c r="F123" s="971"/>
      <c r="G123" s="984"/>
      <c r="H123" s="985"/>
      <c r="I123" s="986">
        <f t="shared" si="10"/>
        <v>0</v>
      </c>
      <c r="J123" s="975"/>
      <c r="K123" s="969"/>
      <c r="L123" s="976"/>
      <c r="M123" s="969"/>
      <c r="N123" s="977">
        <f t="shared" si="7"/>
        <v>0</v>
      </c>
      <c r="O123" s="988"/>
      <c r="P123" s="978" t="str">
        <f t="shared" si="6"/>
        <v/>
      </c>
      <c r="Q123" s="979"/>
      <c r="R123" s="989"/>
      <c r="S123" s="978" t="str">
        <f t="shared" si="8"/>
        <v/>
      </c>
      <c r="T123" s="980"/>
      <c r="U123" s="981" t="str">
        <f t="shared" si="9"/>
        <v/>
      </c>
      <c r="V123" s="948"/>
    </row>
    <row r="124" spans="1:22">
      <c r="A124" s="968"/>
      <c r="B124" s="969"/>
      <c r="C124" s="969"/>
      <c r="D124" s="968"/>
      <c r="E124" s="969"/>
      <c r="F124" s="971"/>
      <c r="G124" s="984"/>
      <c r="H124" s="985"/>
      <c r="I124" s="986">
        <f t="shared" si="10"/>
        <v>0</v>
      </c>
      <c r="J124" s="975"/>
      <c r="K124" s="969"/>
      <c r="L124" s="976"/>
      <c r="M124" s="969"/>
      <c r="N124" s="977">
        <f t="shared" si="7"/>
        <v>0</v>
      </c>
      <c r="O124" s="988"/>
      <c r="P124" s="978" t="str">
        <f t="shared" si="6"/>
        <v/>
      </c>
      <c r="Q124" s="979"/>
      <c r="R124" s="989"/>
      <c r="S124" s="978" t="str">
        <f t="shared" si="8"/>
        <v/>
      </c>
      <c r="T124" s="980"/>
      <c r="U124" s="981" t="str">
        <f t="shared" si="9"/>
        <v/>
      </c>
      <c r="V124" s="948"/>
    </row>
    <row r="125" spans="1:22">
      <c r="A125" s="968"/>
      <c r="B125" s="969"/>
      <c r="C125" s="969"/>
      <c r="D125" s="968"/>
      <c r="E125" s="969"/>
      <c r="F125" s="971"/>
      <c r="G125" s="984"/>
      <c r="H125" s="985"/>
      <c r="I125" s="986">
        <f t="shared" si="10"/>
        <v>0</v>
      </c>
      <c r="J125" s="975"/>
      <c r="K125" s="969"/>
      <c r="L125" s="976"/>
      <c r="M125" s="969"/>
      <c r="N125" s="977">
        <f t="shared" si="7"/>
        <v>0</v>
      </c>
      <c r="O125" s="988"/>
      <c r="P125" s="978" t="str">
        <f t="shared" si="6"/>
        <v/>
      </c>
      <c r="Q125" s="979"/>
      <c r="R125" s="989"/>
      <c r="S125" s="978" t="str">
        <f t="shared" si="8"/>
        <v/>
      </c>
      <c r="T125" s="980"/>
      <c r="U125" s="981" t="str">
        <f t="shared" si="9"/>
        <v/>
      </c>
      <c r="V125" s="948"/>
    </row>
    <row r="126" spans="1:22">
      <c r="A126" s="968"/>
      <c r="B126" s="969"/>
      <c r="C126" s="969"/>
      <c r="D126" s="968"/>
      <c r="E126" s="969"/>
      <c r="F126" s="971"/>
      <c r="G126" s="984"/>
      <c r="H126" s="985"/>
      <c r="I126" s="986">
        <f t="shared" si="10"/>
        <v>0</v>
      </c>
      <c r="J126" s="975"/>
      <c r="K126" s="969"/>
      <c r="L126" s="976"/>
      <c r="M126" s="969"/>
      <c r="N126" s="977">
        <f t="shared" si="7"/>
        <v>0</v>
      </c>
      <c r="O126" s="988"/>
      <c r="P126" s="978" t="str">
        <f t="shared" si="6"/>
        <v/>
      </c>
      <c r="Q126" s="979"/>
      <c r="R126" s="989"/>
      <c r="S126" s="978" t="str">
        <f t="shared" si="8"/>
        <v/>
      </c>
      <c r="T126" s="980"/>
      <c r="U126" s="981" t="str">
        <f t="shared" si="9"/>
        <v/>
      </c>
      <c r="V126" s="948"/>
    </row>
    <row r="127" spans="1:22">
      <c r="A127" s="968"/>
      <c r="B127" s="969"/>
      <c r="C127" s="969"/>
      <c r="D127" s="968"/>
      <c r="E127" s="969"/>
      <c r="F127" s="971"/>
      <c r="G127" s="984"/>
      <c r="H127" s="985"/>
      <c r="I127" s="986">
        <f t="shared" si="10"/>
        <v>0</v>
      </c>
      <c r="J127" s="975"/>
      <c r="K127" s="969"/>
      <c r="L127" s="976"/>
      <c r="M127" s="969"/>
      <c r="N127" s="977">
        <f t="shared" si="7"/>
        <v>0</v>
      </c>
      <c r="O127" s="988"/>
      <c r="P127" s="978" t="str">
        <f t="shared" si="6"/>
        <v/>
      </c>
      <c r="Q127" s="979"/>
      <c r="R127" s="989"/>
      <c r="S127" s="978" t="str">
        <f t="shared" si="8"/>
        <v/>
      </c>
      <c r="T127" s="980"/>
      <c r="U127" s="981" t="str">
        <f t="shared" si="9"/>
        <v/>
      </c>
      <c r="V127" s="948"/>
    </row>
    <row r="128" spans="1:22">
      <c r="A128" s="968"/>
      <c r="B128" s="969"/>
      <c r="C128" s="969"/>
      <c r="D128" s="968"/>
      <c r="E128" s="969"/>
      <c r="F128" s="971"/>
      <c r="G128" s="984"/>
      <c r="H128" s="985"/>
      <c r="I128" s="986">
        <f t="shared" si="10"/>
        <v>0</v>
      </c>
      <c r="J128" s="975"/>
      <c r="K128" s="969"/>
      <c r="L128" s="976"/>
      <c r="M128" s="969"/>
      <c r="N128" s="977">
        <f t="shared" si="7"/>
        <v>0</v>
      </c>
      <c r="O128" s="988"/>
      <c r="P128" s="978" t="str">
        <f t="shared" si="6"/>
        <v/>
      </c>
      <c r="Q128" s="979"/>
      <c r="R128" s="989"/>
      <c r="S128" s="978" t="str">
        <f t="shared" si="8"/>
        <v/>
      </c>
      <c r="T128" s="980"/>
      <c r="U128" s="981" t="str">
        <f t="shared" si="9"/>
        <v/>
      </c>
      <c r="V128" s="948"/>
    </row>
    <row r="129" spans="1:22">
      <c r="A129" s="968"/>
      <c r="B129" s="969"/>
      <c r="C129" s="969"/>
      <c r="D129" s="968"/>
      <c r="E129" s="969"/>
      <c r="F129" s="971"/>
      <c r="G129" s="984"/>
      <c r="H129" s="985"/>
      <c r="I129" s="986">
        <f t="shared" si="10"/>
        <v>0</v>
      </c>
      <c r="J129" s="975"/>
      <c r="K129" s="969"/>
      <c r="L129" s="976"/>
      <c r="M129" s="969"/>
      <c r="N129" s="977">
        <f t="shared" si="7"/>
        <v>0</v>
      </c>
      <c r="O129" s="988"/>
      <c r="P129" s="978" t="str">
        <f t="shared" si="6"/>
        <v/>
      </c>
      <c r="Q129" s="979"/>
      <c r="R129" s="989"/>
      <c r="S129" s="978" t="str">
        <f t="shared" si="8"/>
        <v/>
      </c>
      <c r="T129" s="980"/>
      <c r="U129" s="981" t="str">
        <f t="shared" si="9"/>
        <v/>
      </c>
      <c r="V129" s="948"/>
    </row>
    <row r="130" spans="1:22">
      <c r="A130" s="968"/>
      <c r="B130" s="969"/>
      <c r="C130" s="969"/>
      <c r="D130" s="968"/>
      <c r="E130" s="969"/>
      <c r="F130" s="971"/>
      <c r="G130" s="984"/>
      <c r="H130" s="985"/>
      <c r="I130" s="986">
        <f t="shared" si="10"/>
        <v>0</v>
      </c>
      <c r="J130" s="975"/>
      <c r="K130" s="969"/>
      <c r="L130" s="976"/>
      <c r="M130" s="969"/>
      <c r="N130" s="977">
        <f t="shared" si="7"/>
        <v>0</v>
      </c>
      <c r="O130" s="988"/>
      <c r="P130" s="978" t="str">
        <f t="shared" si="6"/>
        <v/>
      </c>
      <c r="Q130" s="979"/>
      <c r="R130" s="989"/>
      <c r="S130" s="978" t="str">
        <f t="shared" si="8"/>
        <v/>
      </c>
      <c r="T130" s="980"/>
      <c r="U130" s="981" t="str">
        <f t="shared" si="9"/>
        <v/>
      </c>
      <c r="V130" s="948"/>
    </row>
    <row r="131" spans="1:22">
      <c r="A131" s="968"/>
      <c r="B131" s="969"/>
      <c r="C131" s="969"/>
      <c r="D131" s="968"/>
      <c r="E131" s="969"/>
      <c r="F131" s="971"/>
      <c r="G131" s="984"/>
      <c r="H131" s="985"/>
      <c r="I131" s="986">
        <f t="shared" si="10"/>
        <v>0</v>
      </c>
      <c r="J131" s="975"/>
      <c r="K131" s="969"/>
      <c r="L131" s="976"/>
      <c r="M131" s="969"/>
      <c r="N131" s="977">
        <f t="shared" si="7"/>
        <v>0</v>
      </c>
      <c r="O131" s="988"/>
      <c r="P131" s="978" t="str">
        <f t="shared" si="6"/>
        <v/>
      </c>
      <c r="Q131" s="979"/>
      <c r="R131" s="989"/>
      <c r="S131" s="978" t="str">
        <f t="shared" si="8"/>
        <v/>
      </c>
      <c r="T131" s="980"/>
      <c r="U131" s="981" t="str">
        <f t="shared" si="9"/>
        <v/>
      </c>
      <c r="V131" s="948"/>
    </row>
    <row r="132" spans="1:22">
      <c r="A132" s="968"/>
      <c r="B132" s="969"/>
      <c r="C132" s="969"/>
      <c r="D132" s="968"/>
      <c r="E132" s="969"/>
      <c r="F132" s="971"/>
      <c r="G132" s="984"/>
      <c r="H132" s="985"/>
      <c r="I132" s="986">
        <f t="shared" si="10"/>
        <v>0</v>
      </c>
      <c r="J132" s="975"/>
      <c r="K132" s="969"/>
      <c r="L132" s="976"/>
      <c r="M132" s="969"/>
      <c r="N132" s="977">
        <f t="shared" si="7"/>
        <v>0</v>
      </c>
      <c r="O132" s="988"/>
      <c r="P132" s="978" t="str">
        <f t="shared" si="6"/>
        <v/>
      </c>
      <c r="Q132" s="979"/>
      <c r="R132" s="989"/>
      <c r="S132" s="978" t="str">
        <f t="shared" si="8"/>
        <v/>
      </c>
      <c r="T132" s="980"/>
      <c r="U132" s="981" t="str">
        <f t="shared" si="9"/>
        <v/>
      </c>
      <c r="V132" s="948"/>
    </row>
    <row r="133" spans="1:22">
      <c r="A133" s="968"/>
      <c r="B133" s="969"/>
      <c r="C133" s="969"/>
      <c r="D133" s="968"/>
      <c r="E133" s="969"/>
      <c r="F133" s="971"/>
      <c r="G133" s="984"/>
      <c r="H133" s="985"/>
      <c r="I133" s="986">
        <f t="shared" si="10"/>
        <v>0</v>
      </c>
      <c r="J133" s="975"/>
      <c r="K133" s="969"/>
      <c r="L133" s="976"/>
      <c r="M133" s="969"/>
      <c r="N133" s="977">
        <f t="shared" si="7"/>
        <v>0</v>
      </c>
      <c r="O133" s="988"/>
      <c r="P133" s="978" t="str">
        <f t="shared" si="6"/>
        <v/>
      </c>
      <c r="Q133" s="979"/>
      <c r="R133" s="989"/>
      <c r="S133" s="978" t="str">
        <f t="shared" si="8"/>
        <v/>
      </c>
      <c r="T133" s="980"/>
      <c r="U133" s="981" t="str">
        <f t="shared" si="9"/>
        <v/>
      </c>
      <c r="V133" s="948"/>
    </row>
    <row r="134" spans="1:22">
      <c r="A134" s="968"/>
      <c r="B134" s="969"/>
      <c r="C134" s="969"/>
      <c r="D134" s="968"/>
      <c r="E134" s="969"/>
      <c r="F134" s="971"/>
      <c r="G134" s="984"/>
      <c r="H134" s="985"/>
      <c r="I134" s="986">
        <f t="shared" si="10"/>
        <v>0</v>
      </c>
      <c r="J134" s="975"/>
      <c r="K134" s="969"/>
      <c r="L134" s="976"/>
      <c r="M134" s="969"/>
      <c r="N134" s="977">
        <f t="shared" si="7"/>
        <v>0</v>
      </c>
      <c r="O134" s="988"/>
      <c r="P134" s="978" t="str">
        <f t="shared" si="6"/>
        <v/>
      </c>
      <c r="Q134" s="979"/>
      <c r="R134" s="989"/>
      <c r="S134" s="978" t="str">
        <f t="shared" si="8"/>
        <v/>
      </c>
      <c r="T134" s="980"/>
      <c r="U134" s="981" t="str">
        <f t="shared" si="9"/>
        <v/>
      </c>
      <c r="V134" s="948"/>
    </row>
    <row r="135" spans="1:22">
      <c r="A135" s="968"/>
      <c r="B135" s="969"/>
      <c r="C135" s="969"/>
      <c r="D135" s="968"/>
      <c r="E135" s="969"/>
      <c r="F135" s="971"/>
      <c r="G135" s="984"/>
      <c r="H135" s="985"/>
      <c r="I135" s="986">
        <f t="shared" si="10"/>
        <v>0</v>
      </c>
      <c r="J135" s="975"/>
      <c r="K135" s="969"/>
      <c r="L135" s="976"/>
      <c r="M135" s="969"/>
      <c r="N135" s="977">
        <f t="shared" si="7"/>
        <v>0</v>
      </c>
      <c r="O135" s="988"/>
      <c r="P135" s="978" t="str">
        <f t="shared" ref="P135:P198" si="11">IFERROR(N135/O135,"")</f>
        <v/>
      </c>
      <c r="Q135" s="979"/>
      <c r="R135" s="989"/>
      <c r="S135" s="978" t="str">
        <f t="shared" si="8"/>
        <v/>
      </c>
      <c r="T135" s="980"/>
      <c r="U135" s="981" t="str">
        <f t="shared" si="9"/>
        <v/>
      </c>
      <c r="V135" s="948"/>
    </row>
    <row r="136" spans="1:22">
      <c r="A136" s="968"/>
      <c r="B136" s="969"/>
      <c r="C136" s="969"/>
      <c r="D136" s="968"/>
      <c r="E136" s="969"/>
      <c r="F136" s="971"/>
      <c r="G136" s="984"/>
      <c r="H136" s="985"/>
      <c r="I136" s="986">
        <f t="shared" si="10"/>
        <v>0</v>
      </c>
      <c r="J136" s="975"/>
      <c r="K136" s="969"/>
      <c r="L136" s="976"/>
      <c r="M136" s="969"/>
      <c r="N136" s="977">
        <f t="shared" ref="N136:N199" si="12">SUM(L136:M136)</f>
        <v>0</v>
      </c>
      <c r="O136" s="988"/>
      <c r="P136" s="978" t="str">
        <f t="shared" si="11"/>
        <v/>
      </c>
      <c r="Q136" s="979"/>
      <c r="R136" s="989"/>
      <c r="S136" s="978" t="str">
        <f t="shared" ref="S136:S199" si="13">IFERROR(Q136/R136,"")</f>
        <v/>
      </c>
      <c r="T136" s="980"/>
      <c r="U136" s="981" t="str">
        <f t="shared" ref="U136:U199" si="14">IFERROR(I136*J136*K136/N136*IF($U$6="Variante 1",P136,IF($U$6="Variante 2",S136,T136)),"")</f>
        <v/>
      </c>
      <c r="V136" s="948"/>
    </row>
    <row r="137" spans="1:22">
      <c r="A137" s="968"/>
      <c r="B137" s="969"/>
      <c r="C137" s="969"/>
      <c r="D137" s="968"/>
      <c r="E137" s="969"/>
      <c r="F137" s="971"/>
      <c r="G137" s="984"/>
      <c r="H137" s="985"/>
      <c r="I137" s="986">
        <f t="shared" si="10"/>
        <v>0</v>
      </c>
      <c r="J137" s="975"/>
      <c r="K137" s="969"/>
      <c r="L137" s="976"/>
      <c r="M137" s="969"/>
      <c r="N137" s="977">
        <f t="shared" si="12"/>
        <v>0</v>
      </c>
      <c r="O137" s="988"/>
      <c r="P137" s="978" t="str">
        <f t="shared" si="11"/>
        <v/>
      </c>
      <c r="Q137" s="979"/>
      <c r="R137" s="989"/>
      <c r="S137" s="978" t="str">
        <f t="shared" si="13"/>
        <v/>
      </c>
      <c r="T137" s="980"/>
      <c r="U137" s="981" t="str">
        <f t="shared" si="14"/>
        <v/>
      </c>
      <c r="V137" s="948"/>
    </row>
    <row r="138" spans="1:22">
      <c r="A138" s="968"/>
      <c r="B138" s="969"/>
      <c r="C138" s="969"/>
      <c r="D138" s="968"/>
      <c r="E138" s="969"/>
      <c r="F138" s="971"/>
      <c r="G138" s="984"/>
      <c r="H138" s="985"/>
      <c r="I138" s="986">
        <f t="shared" si="10"/>
        <v>0</v>
      </c>
      <c r="J138" s="975"/>
      <c r="K138" s="969"/>
      <c r="L138" s="976"/>
      <c r="M138" s="969"/>
      <c r="N138" s="977">
        <f t="shared" si="12"/>
        <v>0</v>
      </c>
      <c r="O138" s="988"/>
      <c r="P138" s="978" t="str">
        <f t="shared" si="11"/>
        <v/>
      </c>
      <c r="Q138" s="979"/>
      <c r="R138" s="989"/>
      <c r="S138" s="978" t="str">
        <f t="shared" si="13"/>
        <v/>
      </c>
      <c r="T138" s="980"/>
      <c r="U138" s="981" t="str">
        <f t="shared" si="14"/>
        <v/>
      </c>
      <c r="V138" s="948"/>
    </row>
    <row r="139" spans="1:22">
      <c r="A139" s="968"/>
      <c r="B139" s="969"/>
      <c r="C139" s="969"/>
      <c r="D139" s="968"/>
      <c r="E139" s="969"/>
      <c r="F139" s="971"/>
      <c r="G139" s="984"/>
      <c r="H139" s="985"/>
      <c r="I139" s="986">
        <f t="shared" si="10"/>
        <v>0</v>
      </c>
      <c r="J139" s="975"/>
      <c r="K139" s="969"/>
      <c r="L139" s="976"/>
      <c r="M139" s="969"/>
      <c r="N139" s="977">
        <f t="shared" si="12"/>
        <v>0</v>
      </c>
      <c r="O139" s="988"/>
      <c r="P139" s="978" t="str">
        <f t="shared" si="11"/>
        <v/>
      </c>
      <c r="Q139" s="979"/>
      <c r="R139" s="989"/>
      <c r="S139" s="978" t="str">
        <f t="shared" si="13"/>
        <v/>
      </c>
      <c r="T139" s="980"/>
      <c r="U139" s="981" t="str">
        <f t="shared" si="14"/>
        <v/>
      </c>
      <c r="V139" s="948"/>
    </row>
    <row r="140" spans="1:22">
      <c r="A140" s="968"/>
      <c r="B140" s="969"/>
      <c r="C140" s="969"/>
      <c r="D140" s="968"/>
      <c r="E140" s="969"/>
      <c r="F140" s="971"/>
      <c r="G140" s="984"/>
      <c r="H140" s="985"/>
      <c r="I140" s="986">
        <f t="shared" si="10"/>
        <v>0</v>
      </c>
      <c r="J140" s="975"/>
      <c r="K140" s="969"/>
      <c r="L140" s="976"/>
      <c r="M140" s="969"/>
      <c r="N140" s="977">
        <f t="shared" si="12"/>
        <v>0</v>
      </c>
      <c r="O140" s="988"/>
      <c r="P140" s="978" t="str">
        <f t="shared" si="11"/>
        <v/>
      </c>
      <c r="Q140" s="979"/>
      <c r="R140" s="989"/>
      <c r="S140" s="978" t="str">
        <f t="shared" si="13"/>
        <v/>
      </c>
      <c r="T140" s="980"/>
      <c r="U140" s="981" t="str">
        <f t="shared" si="14"/>
        <v/>
      </c>
      <c r="V140" s="948"/>
    </row>
    <row r="141" spans="1:22">
      <c r="A141" s="968"/>
      <c r="B141" s="969"/>
      <c r="C141" s="969"/>
      <c r="D141" s="968"/>
      <c r="E141" s="969"/>
      <c r="F141" s="971"/>
      <c r="G141" s="984"/>
      <c r="H141" s="985"/>
      <c r="I141" s="986">
        <f t="shared" si="10"/>
        <v>0</v>
      </c>
      <c r="J141" s="975"/>
      <c r="K141" s="969"/>
      <c r="L141" s="976"/>
      <c r="M141" s="969"/>
      <c r="N141" s="977">
        <f t="shared" si="12"/>
        <v>0</v>
      </c>
      <c r="O141" s="988"/>
      <c r="P141" s="978" t="str">
        <f t="shared" si="11"/>
        <v/>
      </c>
      <c r="Q141" s="979"/>
      <c r="R141" s="989"/>
      <c r="S141" s="978" t="str">
        <f t="shared" si="13"/>
        <v/>
      </c>
      <c r="T141" s="980"/>
      <c r="U141" s="981" t="str">
        <f t="shared" si="14"/>
        <v/>
      </c>
      <c r="V141" s="948"/>
    </row>
    <row r="142" spans="1:22">
      <c r="A142" s="968"/>
      <c r="B142" s="969"/>
      <c r="C142" s="969"/>
      <c r="D142" s="968"/>
      <c r="E142" s="969"/>
      <c r="F142" s="971"/>
      <c r="G142" s="984"/>
      <c r="H142" s="985"/>
      <c r="I142" s="986">
        <f t="shared" si="10"/>
        <v>0</v>
      </c>
      <c r="J142" s="975"/>
      <c r="K142" s="969"/>
      <c r="L142" s="976"/>
      <c r="M142" s="969"/>
      <c r="N142" s="977">
        <f t="shared" si="12"/>
        <v>0</v>
      </c>
      <c r="O142" s="988"/>
      <c r="P142" s="978" t="str">
        <f t="shared" si="11"/>
        <v/>
      </c>
      <c r="Q142" s="979"/>
      <c r="R142" s="989"/>
      <c r="S142" s="978" t="str">
        <f t="shared" si="13"/>
        <v/>
      </c>
      <c r="T142" s="980"/>
      <c r="U142" s="981" t="str">
        <f t="shared" si="14"/>
        <v/>
      </c>
      <c r="V142" s="948"/>
    </row>
    <row r="143" spans="1:22">
      <c r="A143" s="968"/>
      <c r="B143" s="969"/>
      <c r="C143" s="969"/>
      <c r="D143" s="968"/>
      <c r="E143" s="969"/>
      <c r="F143" s="971"/>
      <c r="G143" s="984"/>
      <c r="H143" s="985"/>
      <c r="I143" s="986">
        <f t="shared" si="10"/>
        <v>0</v>
      </c>
      <c r="J143" s="975"/>
      <c r="K143" s="969"/>
      <c r="L143" s="976"/>
      <c r="M143" s="969"/>
      <c r="N143" s="977">
        <f t="shared" si="12"/>
        <v>0</v>
      </c>
      <c r="O143" s="988"/>
      <c r="P143" s="978" t="str">
        <f t="shared" si="11"/>
        <v/>
      </c>
      <c r="Q143" s="979"/>
      <c r="R143" s="989"/>
      <c r="S143" s="978" t="str">
        <f t="shared" si="13"/>
        <v/>
      </c>
      <c r="T143" s="980"/>
      <c r="U143" s="981" t="str">
        <f t="shared" si="14"/>
        <v/>
      </c>
      <c r="V143" s="948"/>
    </row>
    <row r="144" spans="1:22">
      <c r="A144" s="968"/>
      <c r="B144" s="969"/>
      <c r="C144" s="969"/>
      <c r="D144" s="968"/>
      <c r="E144" s="969"/>
      <c r="F144" s="971"/>
      <c r="G144" s="984"/>
      <c r="H144" s="985"/>
      <c r="I144" s="986">
        <f t="shared" si="10"/>
        <v>0</v>
      </c>
      <c r="J144" s="975"/>
      <c r="K144" s="969"/>
      <c r="L144" s="976"/>
      <c r="M144" s="969"/>
      <c r="N144" s="977">
        <f t="shared" si="12"/>
        <v>0</v>
      </c>
      <c r="O144" s="988"/>
      <c r="P144" s="978" t="str">
        <f t="shared" si="11"/>
        <v/>
      </c>
      <c r="Q144" s="979"/>
      <c r="R144" s="989"/>
      <c r="S144" s="978" t="str">
        <f t="shared" si="13"/>
        <v/>
      </c>
      <c r="T144" s="980"/>
      <c r="U144" s="981" t="str">
        <f t="shared" si="14"/>
        <v/>
      </c>
      <c r="V144" s="948"/>
    </row>
    <row r="145" spans="1:22">
      <c r="A145" s="968"/>
      <c r="B145" s="969"/>
      <c r="C145" s="969"/>
      <c r="D145" s="968"/>
      <c r="E145" s="969"/>
      <c r="F145" s="971"/>
      <c r="G145" s="984"/>
      <c r="H145" s="985"/>
      <c r="I145" s="986">
        <f t="shared" si="10"/>
        <v>0</v>
      </c>
      <c r="J145" s="975"/>
      <c r="K145" s="969"/>
      <c r="L145" s="976"/>
      <c r="M145" s="969"/>
      <c r="N145" s="977">
        <f t="shared" si="12"/>
        <v>0</v>
      </c>
      <c r="O145" s="988"/>
      <c r="P145" s="978" t="str">
        <f t="shared" si="11"/>
        <v/>
      </c>
      <c r="Q145" s="979"/>
      <c r="R145" s="989"/>
      <c r="S145" s="978" t="str">
        <f t="shared" si="13"/>
        <v/>
      </c>
      <c r="T145" s="980"/>
      <c r="U145" s="981" t="str">
        <f t="shared" si="14"/>
        <v/>
      </c>
      <c r="V145" s="948"/>
    </row>
    <row r="146" spans="1:22">
      <c r="A146" s="968"/>
      <c r="B146" s="969"/>
      <c r="C146" s="969"/>
      <c r="D146" s="968"/>
      <c r="E146" s="969"/>
      <c r="F146" s="971"/>
      <c r="G146" s="984"/>
      <c r="H146" s="985"/>
      <c r="I146" s="986">
        <f t="shared" si="10"/>
        <v>0</v>
      </c>
      <c r="J146" s="975"/>
      <c r="K146" s="969"/>
      <c r="L146" s="976"/>
      <c r="M146" s="969"/>
      <c r="N146" s="977">
        <f t="shared" si="12"/>
        <v>0</v>
      </c>
      <c r="O146" s="988"/>
      <c r="P146" s="978" t="str">
        <f t="shared" si="11"/>
        <v/>
      </c>
      <c r="Q146" s="979"/>
      <c r="R146" s="989"/>
      <c r="S146" s="978" t="str">
        <f t="shared" si="13"/>
        <v/>
      </c>
      <c r="T146" s="980"/>
      <c r="U146" s="981" t="str">
        <f t="shared" si="14"/>
        <v/>
      </c>
      <c r="V146" s="948"/>
    </row>
    <row r="147" spans="1:22">
      <c r="A147" s="968"/>
      <c r="B147" s="969"/>
      <c r="C147" s="969"/>
      <c r="D147" s="968"/>
      <c r="E147" s="969"/>
      <c r="F147" s="971"/>
      <c r="G147" s="984"/>
      <c r="H147" s="985"/>
      <c r="I147" s="986">
        <f t="shared" si="10"/>
        <v>0</v>
      </c>
      <c r="J147" s="975"/>
      <c r="K147" s="969"/>
      <c r="L147" s="976"/>
      <c r="M147" s="969"/>
      <c r="N147" s="977">
        <f t="shared" si="12"/>
        <v>0</v>
      </c>
      <c r="O147" s="988"/>
      <c r="P147" s="978" t="str">
        <f t="shared" si="11"/>
        <v/>
      </c>
      <c r="Q147" s="979"/>
      <c r="R147" s="989"/>
      <c r="S147" s="978" t="str">
        <f t="shared" si="13"/>
        <v/>
      </c>
      <c r="T147" s="980"/>
      <c r="U147" s="981" t="str">
        <f t="shared" si="14"/>
        <v/>
      </c>
      <c r="V147" s="948"/>
    </row>
    <row r="148" spans="1:22">
      <c r="A148" s="968"/>
      <c r="B148" s="969"/>
      <c r="C148" s="969"/>
      <c r="D148" s="968"/>
      <c r="E148" s="969"/>
      <c r="F148" s="971"/>
      <c r="G148" s="984"/>
      <c r="H148" s="985"/>
      <c r="I148" s="986">
        <f t="shared" si="10"/>
        <v>0</v>
      </c>
      <c r="J148" s="975"/>
      <c r="K148" s="969"/>
      <c r="L148" s="976"/>
      <c r="M148" s="969"/>
      <c r="N148" s="977">
        <f t="shared" si="12"/>
        <v>0</v>
      </c>
      <c r="O148" s="988"/>
      <c r="P148" s="978" t="str">
        <f t="shared" si="11"/>
        <v/>
      </c>
      <c r="Q148" s="979"/>
      <c r="R148" s="989"/>
      <c r="S148" s="978" t="str">
        <f t="shared" si="13"/>
        <v/>
      </c>
      <c r="T148" s="980"/>
      <c r="U148" s="981" t="str">
        <f t="shared" si="14"/>
        <v/>
      </c>
      <c r="V148" s="948"/>
    </row>
    <row r="149" spans="1:22">
      <c r="A149" s="968"/>
      <c r="B149" s="969"/>
      <c r="C149" s="969"/>
      <c r="D149" s="968"/>
      <c r="E149" s="969"/>
      <c r="F149" s="971"/>
      <c r="G149" s="984"/>
      <c r="H149" s="985"/>
      <c r="I149" s="986">
        <f t="shared" si="10"/>
        <v>0</v>
      </c>
      <c r="J149" s="975"/>
      <c r="K149" s="969"/>
      <c r="L149" s="976"/>
      <c r="M149" s="969"/>
      <c r="N149" s="977">
        <f t="shared" si="12"/>
        <v>0</v>
      </c>
      <c r="O149" s="988"/>
      <c r="P149" s="978" t="str">
        <f t="shared" si="11"/>
        <v/>
      </c>
      <c r="Q149" s="979"/>
      <c r="R149" s="989"/>
      <c r="S149" s="978" t="str">
        <f t="shared" si="13"/>
        <v/>
      </c>
      <c r="T149" s="980"/>
      <c r="U149" s="981" t="str">
        <f t="shared" si="14"/>
        <v/>
      </c>
      <c r="V149" s="948"/>
    </row>
    <row r="150" spans="1:22">
      <c r="A150" s="968"/>
      <c r="B150" s="969"/>
      <c r="C150" s="969"/>
      <c r="D150" s="968"/>
      <c r="E150" s="969"/>
      <c r="F150" s="971"/>
      <c r="G150" s="984"/>
      <c r="H150" s="985"/>
      <c r="I150" s="986">
        <f t="shared" si="10"/>
        <v>0</v>
      </c>
      <c r="J150" s="975"/>
      <c r="K150" s="969"/>
      <c r="L150" s="976"/>
      <c r="M150" s="969"/>
      <c r="N150" s="977">
        <f t="shared" si="12"/>
        <v>0</v>
      </c>
      <c r="O150" s="988"/>
      <c r="P150" s="978" t="str">
        <f t="shared" si="11"/>
        <v/>
      </c>
      <c r="Q150" s="979"/>
      <c r="R150" s="989"/>
      <c r="S150" s="978" t="str">
        <f t="shared" si="13"/>
        <v/>
      </c>
      <c r="T150" s="980"/>
      <c r="U150" s="981" t="str">
        <f t="shared" si="14"/>
        <v/>
      </c>
      <c r="V150" s="948"/>
    </row>
    <row r="151" spans="1:22">
      <c r="A151" s="968"/>
      <c r="B151" s="969"/>
      <c r="C151" s="969"/>
      <c r="D151" s="968"/>
      <c r="E151" s="969"/>
      <c r="F151" s="971"/>
      <c r="G151" s="984"/>
      <c r="H151" s="985"/>
      <c r="I151" s="986">
        <f t="shared" si="10"/>
        <v>0</v>
      </c>
      <c r="J151" s="975"/>
      <c r="K151" s="969"/>
      <c r="L151" s="976"/>
      <c r="M151" s="969"/>
      <c r="N151" s="977">
        <f t="shared" si="12"/>
        <v>0</v>
      </c>
      <c r="O151" s="988"/>
      <c r="P151" s="978" t="str">
        <f t="shared" si="11"/>
        <v/>
      </c>
      <c r="Q151" s="979"/>
      <c r="R151" s="989"/>
      <c r="S151" s="978" t="str">
        <f t="shared" si="13"/>
        <v/>
      </c>
      <c r="T151" s="980"/>
      <c r="U151" s="981" t="str">
        <f t="shared" si="14"/>
        <v/>
      </c>
      <c r="V151" s="948"/>
    </row>
    <row r="152" spans="1:22">
      <c r="A152" s="968"/>
      <c r="B152" s="969"/>
      <c r="C152" s="969"/>
      <c r="D152" s="968"/>
      <c r="E152" s="969"/>
      <c r="F152" s="971"/>
      <c r="G152" s="984"/>
      <c r="H152" s="985"/>
      <c r="I152" s="986">
        <f t="shared" ref="I152:I215" si="15">SUM(G152:H152)</f>
        <v>0</v>
      </c>
      <c r="J152" s="975"/>
      <c r="K152" s="969"/>
      <c r="L152" s="976"/>
      <c r="M152" s="969"/>
      <c r="N152" s="977">
        <f t="shared" si="12"/>
        <v>0</v>
      </c>
      <c r="O152" s="988"/>
      <c r="P152" s="978" t="str">
        <f t="shared" si="11"/>
        <v/>
      </c>
      <c r="Q152" s="979"/>
      <c r="R152" s="989"/>
      <c r="S152" s="978" t="str">
        <f t="shared" si="13"/>
        <v/>
      </c>
      <c r="T152" s="980"/>
      <c r="U152" s="981" t="str">
        <f t="shared" si="14"/>
        <v/>
      </c>
      <c r="V152" s="948"/>
    </row>
    <row r="153" spans="1:22">
      <c r="A153" s="968"/>
      <c r="B153" s="969"/>
      <c r="C153" s="969"/>
      <c r="D153" s="968"/>
      <c r="E153" s="969"/>
      <c r="F153" s="971"/>
      <c r="G153" s="984"/>
      <c r="H153" s="985"/>
      <c r="I153" s="986">
        <f t="shared" si="15"/>
        <v>0</v>
      </c>
      <c r="J153" s="975"/>
      <c r="K153" s="969"/>
      <c r="L153" s="976"/>
      <c r="M153" s="969"/>
      <c r="N153" s="977">
        <f t="shared" si="12"/>
        <v>0</v>
      </c>
      <c r="O153" s="988"/>
      <c r="P153" s="978" t="str">
        <f t="shared" si="11"/>
        <v/>
      </c>
      <c r="Q153" s="979"/>
      <c r="R153" s="989"/>
      <c r="S153" s="978" t="str">
        <f t="shared" si="13"/>
        <v/>
      </c>
      <c r="T153" s="980"/>
      <c r="U153" s="981" t="str">
        <f t="shared" si="14"/>
        <v/>
      </c>
      <c r="V153" s="948"/>
    </row>
    <row r="154" spans="1:22">
      <c r="A154" s="968"/>
      <c r="B154" s="969"/>
      <c r="C154" s="969"/>
      <c r="D154" s="968"/>
      <c r="E154" s="969"/>
      <c r="F154" s="971"/>
      <c r="G154" s="984"/>
      <c r="H154" s="985"/>
      <c r="I154" s="986">
        <f t="shared" si="15"/>
        <v>0</v>
      </c>
      <c r="J154" s="975"/>
      <c r="K154" s="969"/>
      <c r="L154" s="976"/>
      <c r="M154" s="969"/>
      <c r="N154" s="977">
        <f t="shared" si="12"/>
        <v>0</v>
      </c>
      <c r="O154" s="988"/>
      <c r="P154" s="978" t="str">
        <f t="shared" si="11"/>
        <v/>
      </c>
      <c r="Q154" s="979"/>
      <c r="R154" s="989"/>
      <c r="S154" s="978" t="str">
        <f t="shared" si="13"/>
        <v/>
      </c>
      <c r="T154" s="980"/>
      <c r="U154" s="981" t="str">
        <f t="shared" si="14"/>
        <v/>
      </c>
      <c r="V154" s="948"/>
    </row>
    <row r="155" spans="1:22">
      <c r="A155" s="968"/>
      <c r="B155" s="969"/>
      <c r="C155" s="969"/>
      <c r="D155" s="968"/>
      <c r="E155" s="969"/>
      <c r="F155" s="971"/>
      <c r="G155" s="984"/>
      <c r="H155" s="985"/>
      <c r="I155" s="986">
        <f t="shared" si="15"/>
        <v>0</v>
      </c>
      <c r="J155" s="975"/>
      <c r="K155" s="969"/>
      <c r="L155" s="976"/>
      <c r="M155" s="969"/>
      <c r="N155" s="977">
        <f t="shared" si="12"/>
        <v>0</v>
      </c>
      <c r="O155" s="988"/>
      <c r="P155" s="978" t="str">
        <f t="shared" si="11"/>
        <v/>
      </c>
      <c r="Q155" s="979"/>
      <c r="R155" s="989"/>
      <c r="S155" s="978" t="str">
        <f t="shared" si="13"/>
        <v/>
      </c>
      <c r="T155" s="980"/>
      <c r="U155" s="981" t="str">
        <f t="shared" si="14"/>
        <v/>
      </c>
      <c r="V155" s="948"/>
    </row>
    <row r="156" spans="1:22">
      <c r="A156" s="968"/>
      <c r="B156" s="969"/>
      <c r="C156" s="969"/>
      <c r="D156" s="968"/>
      <c r="E156" s="969"/>
      <c r="F156" s="971"/>
      <c r="G156" s="984"/>
      <c r="H156" s="985"/>
      <c r="I156" s="986">
        <f t="shared" si="15"/>
        <v>0</v>
      </c>
      <c r="J156" s="975"/>
      <c r="K156" s="969"/>
      <c r="L156" s="976"/>
      <c r="M156" s="969"/>
      <c r="N156" s="977">
        <f t="shared" si="12"/>
        <v>0</v>
      </c>
      <c r="O156" s="988"/>
      <c r="P156" s="978" t="str">
        <f t="shared" si="11"/>
        <v/>
      </c>
      <c r="Q156" s="979"/>
      <c r="R156" s="989"/>
      <c r="S156" s="978" t="str">
        <f t="shared" si="13"/>
        <v/>
      </c>
      <c r="T156" s="980"/>
      <c r="U156" s="981" t="str">
        <f t="shared" si="14"/>
        <v/>
      </c>
      <c r="V156" s="948"/>
    </row>
    <row r="157" spans="1:22">
      <c r="A157" s="968"/>
      <c r="B157" s="969"/>
      <c r="C157" s="969"/>
      <c r="D157" s="968"/>
      <c r="E157" s="969"/>
      <c r="F157" s="971"/>
      <c r="G157" s="984"/>
      <c r="H157" s="985"/>
      <c r="I157" s="986">
        <f t="shared" si="15"/>
        <v>0</v>
      </c>
      <c r="J157" s="975"/>
      <c r="K157" s="969"/>
      <c r="L157" s="976"/>
      <c r="M157" s="969"/>
      <c r="N157" s="977">
        <f t="shared" si="12"/>
        <v>0</v>
      </c>
      <c r="O157" s="988"/>
      <c r="P157" s="978" t="str">
        <f t="shared" si="11"/>
        <v/>
      </c>
      <c r="Q157" s="979"/>
      <c r="R157" s="989"/>
      <c r="S157" s="978" t="str">
        <f t="shared" si="13"/>
        <v/>
      </c>
      <c r="T157" s="980"/>
      <c r="U157" s="981" t="str">
        <f t="shared" si="14"/>
        <v/>
      </c>
      <c r="V157" s="948"/>
    </row>
    <row r="158" spans="1:22">
      <c r="A158" s="968"/>
      <c r="B158" s="969"/>
      <c r="C158" s="969"/>
      <c r="D158" s="968"/>
      <c r="E158" s="969"/>
      <c r="F158" s="971"/>
      <c r="G158" s="984"/>
      <c r="H158" s="985"/>
      <c r="I158" s="986">
        <f t="shared" si="15"/>
        <v>0</v>
      </c>
      <c r="J158" s="975"/>
      <c r="K158" s="969"/>
      <c r="L158" s="976"/>
      <c r="M158" s="969"/>
      <c r="N158" s="977">
        <f t="shared" si="12"/>
        <v>0</v>
      </c>
      <c r="O158" s="988"/>
      <c r="P158" s="978" t="str">
        <f t="shared" si="11"/>
        <v/>
      </c>
      <c r="Q158" s="979"/>
      <c r="R158" s="989"/>
      <c r="S158" s="978" t="str">
        <f t="shared" si="13"/>
        <v/>
      </c>
      <c r="T158" s="980"/>
      <c r="U158" s="981" t="str">
        <f t="shared" si="14"/>
        <v/>
      </c>
      <c r="V158" s="948"/>
    </row>
    <row r="159" spans="1:22">
      <c r="A159" s="968"/>
      <c r="B159" s="969"/>
      <c r="C159" s="969"/>
      <c r="D159" s="968"/>
      <c r="E159" s="969"/>
      <c r="F159" s="971"/>
      <c r="G159" s="984"/>
      <c r="H159" s="985"/>
      <c r="I159" s="986">
        <f t="shared" si="15"/>
        <v>0</v>
      </c>
      <c r="J159" s="975"/>
      <c r="K159" s="969"/>
      <c r="L159" s="976"/>
      <c r="M159" s="969"/>
      <c r="N159" s="977">
        <f t="shared" si="12"/>
        <v>0</v>
      </c>
      <c r="O159" s="988"/>
      <c r="P159" s="978" t="str">
        <f t="shared" si="11"/>
        <v/>
      </c>
      <c r="Q159" s="979"/>
      <c r="R159" s="989"/>
      <c r="S159" s="978" t="str">
        <f t="shared" si="13"/>
        <v/>
      </c>
      <c r="T159" s="980"/>
      <c r="U159" s="981" t="str">
        <f t="shared" si="14"/>
        <v/>
      </c>
      <c r="V159" s="948"/>
    </row>
    <row r="160" spans="1:22">
      <c r="A160" s="968"/>
      <c r="B160" s="969"/>
      <c r="C160" s="969"/>
      <c r="D160" s="968"/>
      <c r="E160" s="969"/>
      <c r="F160" s="971"/>
      <c r="G160" s="984"/>
      <c r="H160" s="985"/>
      <c r="I160" s="986">
        <f t="shared" si="15"/>
        <v>0</v>
      </c>
      <c r="J160" s="975"/>
      <c r="K160" s="969"/>
      <c r="L160" s="976"/>
      <c r="M160" s="969"/>
      <c r="N160" s="977">
        <f t="shared" si="12"/>
        <v>0</v>
      </c>
      <c r="O160" s="988"/>
      <c r="P160" s="978" t="str">
        <f t="shared" si="11"/>
        <v/>
      </c>
      <c r="Q160" s="979"/>
      <c r="R160" s="989"/>
      <c r="S160" s="978" t="str">
        <f t="shared" si="13"/>
        <v/>
      </c>
      <c r="T160" s="980"/>
      <c r="U160" s="981" t="str">
        <f t="shared" si="14"/>
        <v/>
      </c>
      <c r="V160" s="948"/>
    </row>
    <row r="161" spans="1:22">
      <c r="A161" s="968"/>
      <c r="B161" s="969"/>
      <c r="C161" s="969"/>
      <c r="D161" s="968"/>
      <c r="E161" s="969"/>
      <c r="F161" s="971"/>
      <c r="G161" s="984"/>
      <c r="H161" s="985"/>
      <c r="I161" s="986">
        <f t="shared" si="15"/>
        <v>0</v>
      </c>
      <c r="J161" s="975"/>
      <c r="K161" s="969"/>
      <c r="L161" s="976"/>
      <c r="M161" s="969"/>
      <c r="N161" s="977">
        <f t="shared" si="12"/>
        <v>0</v>
      </c>
      <c r="O161" s="988"/>
      <c r="P161" s="978" t="str">
        <f t="shared" si="11"/>
        <v/>
      </c>
      <c r="Q161" s="979"/>
      <c r="R161" s="989"/>
      <c r="S161" s="978" t="str">
        <f t="shared" si="13"/>
        <v/>
      </c>
      <c r="T161" s="980"/>
      <c r="U161" s="981" t="str">
        <f t="shared" si="14"/>
        <v/>
      </c>
      <c r="V161" s="948"/>
    </row>
    <row r="162" spans="1:22">
      <c r="A162" s="968"/>
      <c r="B162" s="969"/>
      <c r="C162" s="969"/>
      <c r="D162" s="968"/>
      <c r="E162" s="969"/>
      <c r="F162" s="971"/>
      <c r="G162" s="984"/>
      <c r="H162" s="985"/>
      <c r="I162" s="986">
        <f t="shared" si="15"/>
        <v>0</v>
      </c>
      <c r="J162" s="975"/>
      <c r="K162" s="969"/>
      <c r="L162" s="976"/>
      <c r="M162" s="969"/>
      <c r="N162" s="977">
        <f t="shared" si="12"/>
        <v>0</v>
      </c>
      <c r="O162" s="988"/>
      <c r="P162" s="978" t="str">
        <f t="shared" si="11"/>
        <v/>
      </c>
      <c r="Q162" s="979"/>
      <c r="R162" s="989"/>
      <c r="S162" s="978" t="str">
        <f t="shared" si="13"/>
        <v/>
      </c>
      <c r="T162" s="980"/>
      <c r="U162" s="981" t="str">
        <f t="shared" si="14"/>
        <v/>
      </c>
      <c r="V162" s="948"/>
    </row>
    <row r="163" spans="1:22">
      <c r="A163" s="968"/>
      <c r="B163" s="969"/>
      <c r="C163" s="969"/>
      <c r="D163" s="968"/>
      <c r="E163" s="969"/>
      <c r="F163" s="971"/>
      <c r="G163" s="984"/>
      <c r="H163" s="985"/>
      <c r="I163" s="986">
        <f t="shared" si="15"/>
        <v>0</v>
      </c>
      <c r="J163" s="975"/>
      <c r="K163" s="969"/>
      <c r="L163" s="976"/>
      <c r="M163" s="969"/>
      <c r="N163" s="977">
        <f t="shared" si="12"/>
        <v>0</v>
      </c>
      <c r="O163" s="988"/>
      <c r="P163" s="978" t="str">
        <f t="shared" si="11"/>
        <v/>
      </c>
      <c r="Q163" s="979"/>
      <c r="R163" s="989"/>
      <c r="S163" s="978" t="str">
        <f t="shared" si="13"/>
        <v/>
      </c>
      <c r="T163" s="980"/>
      <c r="U163" s="981" t="str">
        <f t="shared" si="14"/>
        <v/>
      </c>
      <c r="V163" s="948"/>
    </row>
    <row r="164" spans="1:22">
      <c r="A164" s="968"/>
      <c r="B164" s="969"/>
      <c r="C164" s="969"/>
      <c r="D164" s="968"/>
      <c r="E164" s="969"/>
      <c r="F164" s="971"/>
      <c r="G164" s="984"/>
      <c r="H164" s="985"/>
      <c r="I164" s="986">
        <f t="shared" si="15"/>
        <v>0</v>
      </c>
      <c r="J164" s="975"/>
      <c r="K164" s="969"/>
      <c r="L164" s="976"/>
      <c r="M164" s="969"/>
      <c r="N164" s="977">
        <f t="shared" si="12"/>
        <v>0</v>
      </c>
      <c r="O164" s="988"/>
      <c r="P164" s="978" t="str">
        <f t="shared" si="11"/>
        <v/>
      </c>
      <c r="Q164" s="979"/>
      <c r="R164" s="989"/>
      <c r="S164" s="978" t="str">
        <f t="shared" si="13"/>
        <v/>
      </c>
      <c r="T164" s="980"/>
      <c r="U164" s="981" t="str">
        <f t="shared" si="14"/>
        <v/>
      </c>
      <c r="V164" s="948"/>
    </row>
    <row r="165" spans="1:22">
      <c r="A165" s="968"/>
      <c r="B165" s="969"/>
      <c r="C165" s="969"/>
      <c r="D165" s="968"/>
      <c r="E165" s="969"/>
      <c r="F165" s="971"/>
      <c r="G165" s="984"/>
      <c r="H165" s="985"/>
      <c r="I165" s="986">
        <f t="shared" si="15"/>
        <v>0</v>
      </c>
      <c r="J165" s="975"/>
      <c r="K165" s="969"/>
      <c r="L165" s="976"/>
      <c r="M165" s="969"/>
      <c r="N165" s="977">
        <f t="shared" si="12"/>
        <v>0</v>
      </c>
      <c r="O165" s="988"/>
      <c r="P165" s="978" t="str">
        <f t="shared" si="11"/>
        <v/>
      </c>
      <c r="Q165" s="979"/>
      <c r="R165" s="989"/>
      <c r="S165" s="978" t="str">
        <f t="shared" si="13"/>
        <v/>
      </c>
      <c r="T165" s="980"/>
      <c r="U165" s="981" t="str">
        <f t="shared" si="14"/>
        <v/>
      </c>
      <c r="V165" s="948"/>
    </row>
    <row r="166" spans="1:22">
      <c r="A166" s="968"/>
      <c r="B166" s="969"/>
      <c r="C166" s="969"/>
      <c r="D166" s="968"/>
      <c r="E166" s="969"/>
      <c r="F166" s="971"/>
      <c r="G166" s="984"/>
      <c r="H166" s="985"/>
      <c r="I166" s="986">
        <f t="shared" si="15"/>
        <v>0</v>
      </c>
      <c r="J166" s="975"/>
      <c r="K166" s="969"/>
      <c r="L166" s="976"/>
      <c r="M166" s="969"/>
      <c r="N166" s="977">
        <f t="shared" si="12"/>
        <v>0</v>
      </c>
      <c r="O166" s="988"/>
      <c r="P166" s="978" t="str">
        <f t="shared" si="11"/>
        <v/>
      </c>
      <c r="Q166" s="979"/>
      <c r="R166" s="989"/>
      <c r="S166" s="978" t="str">
        <f t="shared" si="13"/>
        <v/>
      </c>
      <c r="T166" s="980"/>
      <c r="U166" s="981" t="str">
        <f t="shared" si="14"/>
        <v/>
      </c>
      <c r="V166" s="948"/>
    </row>
    <row r="167" spans="1:22">
      <c r="A167" s="968"/>
      <c r="B167" s="969"/>
      <c r="C167" s="969"/>
      <c r="D167" s="968"/>
      <c r="E167" s="969"/>
      <c r="F167" s="971"/>
      <c r="G167" s="984"/>
      <c r="H167" s="985"/>
      <c r="I167" s="986">
        <f t="shared" si="15"/>
        <v>0</v>
      </c>
      <c r="J167" s="975"/>
      <c r="K167" s="969"/>
      <c r="L167" s="976"/>
      <c r="M167" s="969"/>
      <c r="N167" s="977">
        <f t="shared" si="12"/>
        <v>0</v>
      </c>
      <c r="O167" s="988"/>
      <c r="P167" s="978" t="str">
        <f t="shared" si="11"/>
        <v/>
      </c>
      <c r="Q167" s="979"/>
      <c r="R167" s="989"/>
      <c r="S167" s="978" t="str">
        <f t="shared" si="13"/>
        <v/>
      </c>
      <c r="T167" s="980"/>
      <c r="U167" s="981" t="str">
        <f t="shared" si="14"/>
        <v/>
      </c>
      <c r="V167" s="948"/>
    </row>
    <row r="168" spans="1:22">
      <c r="A168" s="968"/>
      <c r="B168" s="969"/>
      <c r="C168" s="969"/>
      <c r="D168" s="968"/>
      <c r="E168" s="969"/>
      <c r="F168" s="971"/>
      <c r="G168" s="984"/>
      <c r="H168" s="985"/>
      <c r="I168" s="986">
        <f t="shared" si="15"/>
        <v>0</v>
      </c>
      <c r="J168" s="975"/>
      <c r="K168" s="969"/>
      <c r="L168" s="976"/>
      <c r="M168" s="969"/>
      <c r="N168" s="977">
        <f t="shared" si="12"/>
        <v>0</v>
      </c>
      <c r="O168" s="988"/>
      <c r="P168" s="978" t="str">
        <f t="shared" si="11"/>
        <v/>
      </c>
      <c r="Q168" s="979"/>
      <c r="R168" s="989"/>
      <c r="S168" s="978" t="str">
        <f t="shared" si="13"/>
        <v/>
      </c>
      <c r="T168" s="980"/>
      <c r="U168" s="981" t="str">
        <f t="shared" si="14"/>
        <v/>
      </c>
      <c r="V168" s="948"/>
    </row>
    <row r="169" spans="1:22">
      <c r="A169" s="968"/>
      <c r="B169" s="969"/>
      <c r="C169" s="969"/>
      <c r="D169" s="968"/>
      <c r="E169" s="969"/>
      <c r="F169" s="971"/>
      <c r="G169" s="984"/>
      <c r="H169" s="985"/>
      <c r="I169" s="986">
        <f t="shared" si="15"/>
        <v>0</v>
      </c>
      <c r="J169" s="975"/>
      <c r="K169" s="969"/>
      <c r="L169" s="976"/>
      <c r="M169" s="969"/>
      <c r="N169" s="977">
        <f t="shared" si="12"/>
        <v>0</v>
      </c>
      <c r="O169" s="988"/>
      <c r="P169" s="978" t="str">
        <f t="shared" si="11"/>
        <v/>
      </c>
      <c r="Q169" s="979"/>
      <c r="R169" s="989"/>
      <c r="S169" s="978" t="str">
        <f t="shared" si="13"/>
        <v/>
      </c>
      <c r="T169" s="980"/>
      <c r="U169" s="981" t="str">
        <f t="shared" si="14"/>
        <v/>
      </c>
      <c r="V169" s="948"/>
    </row>
    <row r="170" spans="1:22">
      <c r="A170" s="968"/>
      <c r="B170" s="969"/>
      <c r="C170" s="969"/>
      <c r="D170" s="968"/>
      <c r="E170" s="969"/>
      <c r="F170" s="971"/>
      <c r="G170" s="984"/>
      <c r="H170" s="985"/>
      <c r="I170" s="986">
        <f t="shared" si="15"/>
        <v>0</v>
      </c>
      <c r="J170" s="975"/>
      <c r="K170" s="969"/>
      <c r="L170" s="976"/>
      <c r="M170" s="969"/>
      <c r="N170" s="977">
        <f t="shared" si="12"/>
        <v>0</v>
      </c>
      <c r="O170" s="988"/>
      <c r="P170" s="978" t="str">
        <f t="shared" si="11"/>
        <v/>
      </c>
      <c r="Q170" s="979"/>
      <c r="R170" s="989"/>
      <c r="S170" s="978" t="str">
        <f t="shared" si="13"/>
        <v/>
      </c>
      <c r="T170" s="980"/>
      <c r="U170" s="981" t="str">
        <f t="shared" si="14"/>
        <v/>
      </c>
      <c r="V170" s="948"/>
    </row>
    <row r="171" spans="1:22">
      <c r="A171" s="968"/>
      <c r="B171" s="969"/>
      <c r="C171" s="969"/>
      <c r="D171" s="968"/>
      <c r="E171" s="969"/>
      <c r="F171" s="971"/>
      <c r="G171" s="984"/>
      <c r="H171" s="985"/>
      <c r="I171" s="986">
        <f t="shared" si="15"/>
        <v>0</v>
      </c>
      <c r="J171" s="975"/>
      <c r="K171" s="969"/>
      <c r="L171" s="976"/>
      <c r="M171" s="969"/>
      <c r="N171" s="977">
        <f t="shared" si="12"/>
        <v>0</v>
      </c>
      <c r="O171" s="988"/>
      <c r="P171" s="978" t="str">
        <f t="shared" si="11"/>
        <v/>
      </c>
      <c r="Q171" s="979"/>
      <c r="R171" s="989"/>
      <c r="S171" s="978" t="str">
        <f t="shared" si="13"/>
        <v/>
      </c>
      <c r="T171" s="980"/>
      <c r="U171" s="981" t="str">
        <f t="shared" si="14"/>
        <v/>
      </c>
      <c r="V171" s="948"/>
    </row>
    <row r="172" spans="1:22">
      <c r="A172" s="968"/>
      <c r="B172" s="969"/>
      <c r="C172" s="969"/>
      <c r="D172" s="968"/>
      <c r="E172" s="969"/>
      <c r="F172" s="971"/>
      <c r="G172" s="984"/>
      <c r="H172" s="985"/>
      <c r="I172" s="986">
        <f t="shared" si="15"/>
        <v>0</v>
      </c>
      <c r="J172" s="975"/>
      <c r="K172" s="969"/>
      <c r="L172" s="976"/>
      <c r="M172" s="969"/>
      <c r="N172" s="977">
        <f t="shared" si="12"/>
        <v>0</v>
      </c>
      <c r="O172" s="988"/>
      <c r="P172" s="978" t="str">
        <f t="shared" si="11"/>
        <v/>
      </c>
      <c r="Q172" s="979"/>
      <c r="R172" s="989"/>
      <c r="S172" s="978" t="str">
        <f t="shared" si="13"/>
        <v/>
      </c>
      <c r="T172" s="980"/>
      <c r="U172" s="981" t="str">
        <f t="shared" si="14"/>
        <v/>
      </c>
      <c r="V172" s="948"/>
    </row>
    <row r="173" spans="1:22">
      <c r="A173" s="968"/>
      <c r="B173" s="969"/>
      <c r="C173" s="969"/>
      <c r="D173" s="968"/>
      <c r="E173" s="969"/>
      <c r="F173" s="971"/>
      <c r="G173" s="984"/>
      <c r="H173" s="985"/>
      <c r="I173" s="986">
        <f t="shared" si="15"/>
        <v>0</v>
      </c>
      <c r="J173" s="975"/>
      <c r="K173" s="969"/>
      <c r="L173" s="976"/>
      <c r="M173" s="969"/>
      <c r="N173" s="977">
        <f t="shared" si="12"/>
        <v>0</v>
      </c>
      <c r="O173" s="988"/>
      <c r="P173" s="978" t="str">
        <f t="shared" si="11"/>
        <v/>
      </c>
      <c r="Q173" s="979"/>
      <c r="R173" s="989"/>
      <c r="S173" s="978" t="str">
        <f t="shared" si="13"/>
        <v/>
      </c>
      <c r="T173" s="980"/>
      <c r="U173" s="981" t="str">
        <f t="shared" si="14"/>
        <v/>
      </c>
      <c r="V173" s="948"/>
    </row>
    <row r="174" spans="1:22">
      <c r="A174" s="968"/>
      <c r="B174" s="969"/>
      <c r="C174" s="969"/>
      <c r="D174" s="968"/>
      <c r="E174" s="969"/>
      <c r="F174" s="971"/>
      <c r="G174" s="984"/>
      <c r="H174" s="985"/>
      <c r="I174" s="986">
        <f t="shared" si="15"/>
        <v>0</v>
      </c>
      <c r="J174" s="975"/>
      <c r="K174" s="969"/>
      <c r="L174" s="976"/>
      <c r="M174" s="969"/>
      <c r="N174" s="977">
        <f t="shared" si="12"/>
        <v>0</v>
      </c>
      <c r="O174" s="988"/>
      <c r="P174" s="978" t="str">
        <f t="shared" si="11"/>
        <v/>
      </c>
      <c r="Q174" s="979"/>
      <c r="R174" s="989"/>
      <c r="S174" s="978" t="str">
        <f t="shared" si="13"/>
        <v/>
      </c>
      <c r="T174" s="980"/>
      <c r="U174" s="981" t="str">
        <f t="shared" si="14"/>
        <v/>
      </c>
      <c r="V174" s="948"/>
    </row>
    <row r="175" spans="1:22">
      <c r="A175" s="968"/>
      <c r="B175" s="969"/>
      <c r="C175" s="969"/>
      <c r="D175" s="968"/>
      <c r="E175" s="969"/>
      <c r="F175" s="971"/>
      <c r="G175" s="984"/>
      <c r="H175" s="985"/>
      <c r="I175" s="986">
        <f t="shared" si="15"/>
        <v>0</v>
      </c>
      <c r="J175" s="975"/>
      <c r="K175" s="969"/>
      <c r="L175" s="976"/>
      <c r="M175" s="969"/>
      <c r="N175" s="977">
        <f t="shared" si="12"/>
        <v>0</v>
      </c>
      <c r="O175" s="988"/>
      <c r="P175" s="978" t="str">
        <f t="shared" si="11"/>
        <v/>
      </c>
      <c r="Q175" s="979"/>
      <c r="R175" s="989"/>
      <c r="S175" s="978" t="str">
        <f t="shared" si="13"/>
        <v/>
      </c>
      <c r="T175" s="980"/>
      <c r="U175" s="981" t="str">
        <f t="shared" si="14"/>
        <v/>
      </c>
      <c r="V175" s="948"/>
    </row>
    <row r="176" spans="1:22">
      <c r="A176" s="968"/>
      <c r="B176" s="969"/>
      <c r="C176" s="969"/>
      <c r="D176" s="968"/>
      <c r="E176" s="969"/>
      <c r="F176" s="971"/>
      <c r="G176" s="984"/>
      <c r="H176" s="985"/>
      <c r="I176" s="986">
        <f t="shared" si="15"/>
        <v>0</v>
      </c>
      <c r="J176" s="975"/>
      <c r="K176" s="969"/>
      <c r="L176" s="976"/>
      <c r="M176" s="969"/>
      <c r="N176" s="977">
        <f t="shared" si="12"/>
        <v>0</v>
      </c>
      <c r="O176" s="988"/>
      <c r="P176" s="978" t="str">
        <f t="shared" si="11"/>
        <v/>
      </c>
      <c r="Q176" s="979"/>
      <c r="R176" s="989"/>
      <c r="S176" s="978" t="str">
        <f t="shared" si="13"/>
        <v/>
      </c>
      <c r="T176" s="980"/>
      <c r="U176" s="981" t="str">
        <f t="shared" si="14"/>
        <v/>
      </c>
      <c r="V176" s="948"/>
    </row>
    <row r="177" spans="1:22">
      <c r="A177" s="968"/>
      <c r="B177" s="969"/>
      <c r="C177" s="969"/>
      <c r="D177" s="968"/>
      <c r="E177" s="969"/>
      <c r="F177" s="971"/>
      <c r="G177" s="984"/>
      <c r="H177" s="985"/>
      <c r="I177" s="986">
        <f t="shared" si="15"/>
        <v>0</v>
      </c>
      <c r="J177" s="975"/>
      <c r="K177" s="969"/>
      <c r="L177" s="976"/>
      <c r="M177" s="969"/>
      <c r="N177" s="977">
        <f t="shared" si="12"/>
        <v>0</v>
      </c>
      <c r="O177" s="988"/>
      <c r="P177" s="978" t="str">
        <f t="shared" si="11"/>
        <v/>
      </c>
      <c r="Q177" s="979"/>
      <c r="R177" s="989"/>
      <c r="S177" s="978" t="str">
        <f t="shared" si="13"/>
        <v/>
      </c>
      <c r="T177" s="980"/>
      <c r="U177" s="981" t="str">
        <f t="shared" si="14"/>
        <v/>
      </c>
      <c r="V177" s="948"/>
    </row>
    <row r="178" spans="1:22">
      <c r="A178" s="968"/>
      <c r="B178" s="969"/>
      <c r="C178" s="969"/>
      <c r="D178" s="968"/>
      <c r="E178" s="969"/>
      <c r="F178" s="971"/>
      <c r="G178" s="984"/>
      <c r="H178" s="985"/>
      <c r="I178" s="986">
        <f t="shared" si="15"/>
        <v>0</v>
      </c>
      <c r="J178" s="975"/>
      <c r="K178" s="969"/>
      <c r="L178" s="976"/>
      <c r="M178" s="969"/>
      <c r="N178" s="977">
        <f t="shared" si="12"/>
        <v>0</v>
      </c>
      <c r="O178" s="988"/>
      <c r="P178" s="978" t="str">
        <f t="shared" si="11"/>
        <v/>
      </c>
      <c r="Q178" s="979"/>
      <c r="R178" s="989"/>
      <c r="S178" s="978" t="str">
        <f t="shared" si="13"/>
        <v/>
      </c>
      <c r="T178" s="980"/>
      <c r="U178" s="981" t="str">
        <f t="shared" si="14"/>
        <v/>
      </c>
      <c r="V178" s="948"/>
    </row>
    <row r="179" spans="1:22">
      <c r="A179" s="968"/>
      <c r="B179" s="969"/>
      <c r="C179" s="969"/>
      <c r="D179" s="968"/>
      <c r="E179" s="969"/>
      <c r="F179" s="971"/>
      <c r="G179" s="984"/>
      <c r="H179" s="985"/>
      <c r="I179" s="986">
        <f t="shared" si="15"/>
        <v>0</v>
      </c>
      <c r="J179" s="975"/>
      <c r="K179" s="969"/>
      <c r="L179" s="976"/>
      <c r="M179" s="969"/>
      <c r="N179" s="977">
        <f t="shared" si="12"/>
        <v>0</v>
      </c>
      <c r="O179" s="988"/>
      <c r="P179" s="978" t="str">
        <f t="shared" si="11"/>
        <v/>
      </c>
      <c r="Q179" s="979"/>
      <c r="R179" s="989"/>
      <c r="S179" s="978" t="str">
        <f t="shared" si="13"/>
        <v/>
      </c>
      <c r="T179" s="980"/>
      <c r="U179" s="981" t="str">
        <f t="shared" si="14"/>
        <v/>
      </c>
      <c r="V179" s="948"/>
    </row>
    <row r="180" spans="1:22">
      <c r="A180" s="968"/>
      <c r="B180" s="969"/>
      <c r="C180" s="969"/>
      <c r="D180" s="968"/>
      <c r="E180" s="969"/>
      <c r="F180" s="971"/>
      <c r="G180" s="984"/>
      <c r="H180" s="985"/>
      <c r="I180" s="986">
        <f t="shared" si="15"/>
        <v>0</v>
      </c>
      <c r="J180" s="975"/>
      <c r="K180" s="969"/>
      <c r="L180" s="976"/>
      <c r="M180" s="969"/>
      <c r="N180" s="977">
        <f t="shared" si="12"/>
        <v>0</v>
      </c>
      <c r="O180" s="988"/>
      <c r="P180" s="978" t="str">
        <f t="shared" si="11"/>
        <v/>
      </c>
      <c r="Q180" s="979"/>
      <c r="R180" s="989"/>
      <c r="S180" s="978" t="str">
        <f t="shared" si="13"/>
        <v/>
      </c>
      <c r="T180" s="980"/>
      <c r="U180" s="981" t="str">
        <f t="shared" si="14"/>
        <v/>
      </c>
      <c r="V180" s="948"/>
    </row>
    <row r="181" spans="1:22">
      <c r="A181" s="968"/>
      <c r="B181" s="969"/>
      <c r="C181" s="969"/>
      <c r="D181" s="968"/>
      <c r="E181" s="969"/>
      <c r="F181" s="971"/>
      <c r="G181" s="984"/>
      <c r="H181" s="985"/>
      <c r="I181" s="986">
        <f t="shared" si="15"/>
        <v>0</v>
      </c>
      <c r="J181" s="975"/>
      <c r="K181" s="969"/>
      <c r="L181" s="976"/>
      <c r="M181" s="969"/>
      <c r="N181" s="977">
        <f t="shared" si="12"/>
        <v>0</v>
      </c>
      <c r="O181" s="988"/>
      <c r="P181" s="978" t="str">
        <f t="shared" si="11"/>
        <v/>
      </c>
      <c r="Q181" s="979"/>
      <c r="R181" s="989"/>
      <c r="S181" s="978" t="str">
        <f t="shared" si="13"/>
        <v/>
      </c>
      <c r="T181" s="980"/>
      <c r="U181" s="981" t="str">
        <f t="shared" si="14"/>
        <v/>
      </c>
      <c r="V181" s="948"/>
    </row>
    <row r="182" spans="1:22">
      <c r="A182" s="968"/>
      <c r="B182" s="969"/>
      <c r="C182" s="969"/>
      <c r="D182" s="968"/>
      <c r="E182" s="969"/>
      <c r="F182" s="971"/>
      <c r="G182" s="984"/>
      <c r="H182" s="985"/>
      <c r="I182" s="986">
        <f t="shared" si="15"/>
        <v>0</v>
      </c>
      <c r="J182" s="975"/>
      <c r="K182" s="969"/>
      <c r="L182" s="976"/>
      <c r="M182" s="969"/>
      <c r="N182" s="977">
        <f t="shared" si="12"/>
        <v>0</v>
      </c>
      <c r="O182" s="988"/>
      <c r="P182" s="978" t="str">
        <f t="shared" si="11"/>
        <v/>
      </c>
      <c r="Q182" s="979"/>
      <c r="R182" s="989"/>
      <c r="S182" s="978" t="str">
        <f t="shared" si="13"/>
        <v/>
      </c>
      <c r="T182" s="980"/>
      <c r="U182" s="981" t="str">
        <f t="shared" si="14"/>
        <v/>
      </c>
      <c r="V182" s="948"/>
    </row>
    <row r="183" spans="1:22">
      <c r="A183" s="968"/>
      <c r="B183" s="969"/>
      <c r="C183" s="969"/>
      <c r="D183" s="968"/>
      <c r="E183" s="969"/>
      <c r="F183" s="971"/>
      <c r="G183" s="984"/>
      <c r="H183" s="985"/>
      <c r="I183" s="986">
        <f t="shared" si="15"/>
        <v>0</v>
      </c>
      <c r="J183" s="975"/>
      <c r="K183" s="969"/>
      <c r="L183" s="976"/>
      <c r="M183" s="969"/>
      <c r="N183" s="977">
        <f t="shared" si="12"/>
        <v>0</v>
      </c>
      <c r="O183" s="988"/>
      <c r="P183" s="978" t="str">
        <f t="shared" si="11"/>
        <v/>
      </c>
      <c r="Q183" s="979"/>
      <c r="R183" s="989"/>
      <c r="S183" s="978" t="str">
        <f t="shared" si="13"/>
        <v/>
      </c>
      <c r="T183" s="980"/>
      <c r="U183" s="981" t="str">
        <f t="shared" si="14"/>
        <v/>
      </c>
      <c r="V183" s="948"/>
    </row>
    <row r="184" spans="1:22">
      <c r="A184" s="968"/>
      <c r="B184" s="969"/>
      <c r="C184" s="969"/>
      <c r="D184" s="968"/>
      <c r="E184" s="969"/>
      <c r="F184" s="971"/>
      <c r="G184" s="984"/>
      <c r="H184" s="985"/>
      <c r="I184" s="986">
        <f t="shared" si="15"/>
        <v>0</v>
      </c>
      <c r="J184" s="975"/>
      <c r="K184" s="969"/>
      <c r="L184" s="976"/>
      <c r="M184" s="969"/>
      <c r="N184" s="977">
        <f t="shared" si="12"/>
        <v>0</v>
      </c>
      <c r="O184" s="988"/>
      <c r="P184" s="978" t="str">
        <f t="shared" si="11"/>
        <v/>
      </c>
      <c r="Q184" s="979"/>
      <c r="R184" s="989"/>
      <c r="S184" s="978" t="str">
        <f t="shared" si="13"/>
        <v/>
      </c>
      <c r="T184" s="980"/>
      <c r="U184" s="981" t="str">
        <f t="shared" si="14"/>
        <v/>
      </c>
      <c r="V184" s="948"/>
    </row>
    <row r="185" spans="1:22">
      <c r="A185" s="968"/>
      <c r="B185" s="969"/>
      <c r="C185" s="969"/>
      <c r="D185" s="968"/>
      <c r="E185" s="969"/>
      <c r="F185" s="971"/>
      <c r="G185" s="984"/>
      <c r="H185" s="985"/>
      <c r="I185" s="986">
        <f t="shared" si="15"/>
        <v>0</v>
      </c>
      <c r="J185" s="975"/>
      <c r="K185" s="969"/>
      <c r="L185" s="976"/>
      <c r="M185" s="969"/>
      <c r="N185" s="977">
        <f t="shared" si="12"/>
        <v>0</v>
      </c>
      <c r="O185" s="988"/>
      <c r="P185" s="978" t="str">
        <f t="shared" si="11"/>
        <v/>
      </c>
      <c r="Q185" s="979"/>
      <c r="R185" s="989"/>
      <c r="S185" s="978" t="str">
        <f t="shared" si="13"/>
        <v/>
      </c>
      <c r="T185" s="980"/>
      <c r="U185" s="981" t="str">
        <f t="shared" si="14"/>
        <v/>
      </c>
      <c r="V185" s="948"/>
    </row>
    <row r="186" spans="1:22">
      <c r="A186" s="968"/>
      <c r="B186" s="969"/>
      <c r="C186" s="969"/>
      <c r="D186" s="968"/>
      <c r="E186" s="969"/>
      <c r="F186" s="971"/>
      <c r="G186" s="984"/>
      <c r="H186" s="985"/>
      <c r="I186" s="986">
        <f t="shared" si="15"/>
        <v>0</v>
      </c>
      <c r="J186" s="975"/>
      <c r="K186" s="969"/>
      <c r="L186" s="976"/>
      <c r="M186" s="969"/>
      <c r="N186" s="977">
        <f t="shared" si="12"/>
        <v>0</v>
      </c>
      <c r="O186" s="988"/>
      <c r="P186" s="978" t="str">
        <f t="shared" si="11"/>
        <v/>
      </c>
      <c r="Q186" s="979"/>
      <c r="R186" s="989"/>
      <c r="S186" s="978" t="str">
        <f t="shared" si="13"/>
        <v/>
      </c>
      <c r="T186" s="980"/>
      <c r="U186" s="981" t="str">
        <f t="shared" si="14"/>
        <v/>
      </c>
      <c r="V186" s="948"/>
    </row>
    <row r="187" spans="1:22">
      <c r="A187" s="968"/>
      <c r="B187" s="969"/>
      <c r="C187" s="969"/>
      <c r="D187" s="968"/>
      <c r="E187" s="969"/>
      <c r="F187" s="971"/>
      <c r="G187" s="984"/>
      <c r="H187" s="985"/>
      <c r="I187" s="986">
        <f t="shared" si="15"/>
        <v>0</v>
      </c>
      <c r="J187" s="975"/>
      <c r="K187" s="969"/>
      <c r="L187" s="976"/>
      <c r="M187" s="969"/>
      <c r="N187" s="977">
        <f t="shared" si="12"/>
        <v>0</v>
      </c>
      <c r="O187" s="988"/>
      <c r="P187" s="978" t="str">
        <f t="shared" si="11"/>
        <v/>
      </c>
      <c r="Q187" s="979"/>
      <c r="R187" s="989"/>
      <c r="S187" s="978" t="str">
        <f t="shared" si="13"/>
        <v/>
      </c>
      <c r="T187" s="980"/>
      <c r="U187" s="981" t="str">
        <f t="shared" si="14"/>
        <v/>
      </c>
      <c r="V187" s="948"/>
    </row>
    <row r="188" spans="1:22">
      <c r="A188" s="968"/>
      <c r="B188" s="969"/>
      <c r="C188" s="969"/>
      <c r="D188" s="968"/>
      <c r="E188" s="969"/>
      <c r="F188" s="971"/>
      <c r="G188" s="984"/>
      <c r="H188" s="985"/>
      <c r="I188" s="986">
        <f t="shared" si="15"/>
        <v>0</v>
      </c>
      <c r="J188" s="975"/>
      <c r="K188" s="969"/>
      <c r="L188" s="976"/>
      <c r="M188" s="969"/>
      <c r="N188" s="977">
        <f t="shared" si="12"/>
        <v>0</v>
      </c>
      <c r="O188" s="988"/>
      <c r="P188" s="978" t="str">
        <f t="shared" si="11"/>
        <v/>
      </c>
      <c r="Q188" s="979"/>
      <c r="R188" s="989"/>
      <c r="S188" s="978" t="str">
        <f t="shared" si="13"/>
        <v/>
      </c>
      <c r="T188" s="980"/>
      <c r="U188" s="981" t="str">
        <f t="shared" si="14"/>
        <v/>
      </c>
      <c r="V188" s="948"/>
    </row>
    <row r="189" spans="1:22">
      <c r="A189" s="968"/>
      <c r="B189" s="969"/>
      <c r="C189" s="969"/>
      <c r="D189" s="968"/>
      <c r="E189" s="969"/>
      <c r="F189" s="971"/>
      <c r="G189" s="984"/>
      <c r="H189" s="985"/>
      <c r="I189" s="986">
        <f t="shared" si="15"/>
        <v>0</v>
      </c>
      <c r="J189" s="975"/>
      <c r="K189" s="969"/>
      <c r="L189" s="976"/>
      <c r="M189" s="969"/>
      <c r="N189" s="977">
        <f t="shared" si="12"/>
        <v>0</v>
      </c>
      <c r="O189" s="988"/>
      <c r="P189" s="978" t="str">
        <f t="shared" si="11"/>
        <v/>
      </c>
      <c r="Q189" s="979"/>
      <c r="R189" s="989"/>
      <c r="S189" s="978" t="str">
        <f t="shared" si="13"/>
        <v/>
      </c>
      <c r="T189" s="980"/>
      <c r="U189" s="981" t="str">
        <f t="shared" si="14"/>
        <v/>
      </c>
      <c r="V189" s="948"/>
    </row>
    <row r="190" spans="1:22">
      <c r="A190" s="968"/>
      <c r="B190" s="969"/>
      <c r="C190" s="969"/>
      <c r="D190" s="968"/>
      <c r="E190" s="969"/>
      <c r="F190" s="971"/>
      <c r="G190" s="984"/>
      <c r="H190" s="985"/>
      <c r="I190" s="986">
        <f t="shared" si="15"/>
        <v>0</v>
      </c>
      <c r="J190" s="975"/>
      <c r="K190" s="969"/>
      <c r="L190" s="976"/>
      <c r="M190" s="969"/>
      <c r="N190" s="977">
        <f t="shared" si="12"/>
        <v>0</v>
      </c>
      <c r="O190" s="988"/>
      <c r="P190" s="978" t="str">
        <f t="shared" si="11"/>
        <v/>
      </c>
      <c r="Q190" s="979"/>
      <c r="R190" s="989"/>
      <c r="S190" s="978" t="str">
        <f t="shared" si="13"/>
        <v/>
      </c>
      <c r="T190" s="980"/>
      <c r="U190" s="981" t="str">
        <f t="shared" si="14"/>
        <v/>
      </c>
      <c r="V190" s="948"/>
    </row>
    <row r="191" spans="1:22">
      <c r="A191" s="968"/>
      <c r="B191" s="969"/>
      <c r="C191" s="969"/>
      <c r="D191" s="968"/>
      <c r="E191" s="969"/>
      <c r="F191" s="971"/>
      <c r="G191" s="984"/>
      <c r="H191" s="985"/>
      <c r="I191" s="986">
        <f t="shared" si="15"/>
        <v>0</v>
      </c>
      <c r="J191" s="975"/>
      <c r="K191" s="969"/>
      <c r="L191" s="976"/>
      <c r="M191" s="969"/>
      <c r="N191" s="977">
        <f t="shared" si="12"/>
        <v>0</v>
      </c>
      <c r="O191" s="988"/>
      <c r="P191" s="978" t="str">
        <f t="shared" si="11"/>
        <v/>
      </c>
      <c r="Q191" s="979"/>
      <c r="R191" s="989"/>
      <c r="S191" s="978" t="str">
        <f t="shared" si="13"/>
        <v/>
      </c>
      <c r="T191" s="980"/>
      <c r="U191" s="981" t="str">
        <f t="shared" si="14"/>
        <v/>
      </c>
      <c r="V191" s="948"/>
    </row>
    <row r="192" spans="1:22">
      <c r="A192" s="968"/>
      <c r="B192" s="969"/>
      <c r="C192" s="969"/>
      <c r="D192" s="968"/>
      <c r="E192" s="969"/>
      <c r="F192" s="971"/>
      <c r="G192" s="984"/>
      <c r="H192" s="985"/>
      <c r="I192" s="986">
        <f t="shared" si="15"/>
        <v>0</v>
      </c>
      <c r="J192" s="975"/>
      <c r="K192" s="969"/>
      <c r="L192" s="976"/>
      <c r="M192" s="969"/>
      <c r="N192" s="977">
        <f t="shared" si="12"/>
        <v>0</v>
      </c>
      <c r="O192" s="988"/>
      <c r="P192" s="978" t="str">
        <f t="shared" si="11"/>
        <v/>
      </c>
      <c r="Q192" s="979"/>
      <c r="R192" s="989"/>
      <c r="S192" s="978" t="str">
        <f t="shared" si="13"/>
        <v/>
      </c>
      <c r="T192" s="980"/>
      <c r="U192" s="981" t="str">
        <f t="shared" si="14"/>
        <v/>
      </c>
      <c r="V192" s="948"/>
    </row>
    <row r="193" spans="1:22">
      <c r="A193" s="968"/>
      <c r="B193" s="969"/>
      <c r="C193" s="969"/>
      <c r="D193" s="968"/>
      <c r="E193" s="969"/>
      <c r="F193" s="971"/>
      <c r="G193" s="984"/>
      <c r="H193" s="985"/>
      <c r="I193" s="986">
        <f t="shared" si="15"/>
        <v>0</v>
      </c>
      <c r="J193" s="975"/>
      <c r="K193" s="969"/>
      <c r="L193" s="976"/>
      <c r="M193" s="969"/>
      <c r="N193" s="977">
        <f t="shared" si="12"/>
        <v>0</v>
      </c>
      <c r="O193" s="988"/>
      <c r="P193" s="978" t="str">
        <f t="shared" si="11"/>
        <v/>
      </c>
      <c r="Q193" s="979"/>
      <c r="R193" s="989"/>
      <c r="S193" s="978" t="str">
        <f t="shared" si="13"/>
        <v/>
      </c>
      <c r="T193" s="980"/>
      <c r="U193" s="981" t="str">
        <f t="shared" si="14"/>
        <v/>
      </c>
      <c r="V193" s="948"/>
    </row>
    <row r="194" spans="1:22">
      <c r="A194" s="968"/>
      <c r="B194" s="969"/>
      <c r="C194" s="969"/>
      <c r="D194" s="968"/>
      <c r="E194" s="969"/>
      <c r="F194" s="971"/>
      <c r="G194" s="984"/>
      <c r="H194" s="985"/>
      <c r="I194" s="986">
        <f t="shared" si="15"/>
        <v>0</v>
      </c>
      <c r="J194" s="975"/>
      <c r="K194" s="969"/>
      <c r="L194" s="976"/>
      <c r="M194" s="969"/>
      <c r="N194" s="977">
        <f t="shared" si="12"/>
        <v>0</v>
      </c>
      <c r="O194" s="988"/>
      <c r="P194" s="978" t="str">
        <f t="shared" si="11"/>
        <v/>
      </c>
      <c r="Q194" s="979"/>
      <c r="R194" s="989"/>
      <c r="S194" s="978" t="str">
        <f t="shared" si="13"/>
        <v/>
      </c>
      <c r="T194" s="980"/>
      <c r="U194" s="981" t="str">
        <f t="shared" si="14"/>
        <v/>
      </c>
      <c r="V194" s="948"/>
    </row>
    <row r="195" spans="1:22">
      <c r="A195" s="968"/>
      <c r="B195" s="969"/>
      <c r="C195" s="969"/>
      <c r="D195" s="968"/>
      <c r="E195" s="969"/>
      <c r="F195" s="971"/>
      <c r="G195" s="984"/>
      <c r="H195" s="985"/>
      <c r="I195" s="986">
        <f t="shared" si="15"/>
        <v>0</v>
      </c>
      <c r="J195" s="975"/>
      <c r="K195" s="969"/>
      <c r="L195" s="976"/>
      <c r="M195" s="969"/>
      <c r="N195" s="977">
        <f t="shared" si="12"/>
        <v>0</v>
      </c>
      <c r="O195" s="988"/>
      <c r="P195" s="978" t="str">
        <f t="shared" si="11"/>
        <v/>
      </c>
      <c r="Q195" s="979"/>
      <c r="R195" s="989"/>
      <c r="S195" s="978" t="str">
        <f t="shared" si="13"/>
        <v/>
      </c>
      <c r="T195" s="980"/>
      <c r="U195" s="981" t="str">
        <f t="shared" si="14"/>
        <v/>
      </c>
      <c r="V195" s="948"/>
    </row>
    <row r="196" spans="1:22">
      <c r="A196" s="968"/>
      <c r="B196" s="969"/>
      <c r="C196" s="969"/>
      <c r="D196" s="968"/>
      <c r="E196" s="969"/>
      <c r="F196" s="971"/>
      <c r="G196" s="984"/>
      <c r="H196" s="985"/>
      <c r="I196" s="986">
        <f t="shared" si="15"/>
        <v>0</v>
      </c>
      <c r="J196" s="975"/>
      <c r="K196" s="969"/>
      <c r="L196" s="976"/>
      <c r="M196" s="969"/>
      <c r="N196" s="977">
        <f t="shared" si="12"/>
        <v>0</v>
      </c>
      <c r="O196" s="988"/>
      <c r="P196" s="978" t="str">
        <f t="shared" si="11"/>
        <v/>
      </c>
      <c r="Q196" s="979"/>
      <c r="R196" s="989"/>
      <c r="S196" s="978" t="str">
        <f t="shared" si="13"/>
        <v/>
      </c>
      <c r="T196" s="980"/>
      <c r="U196" s="981" t="str">
        <f t="shared" si="14"/>
        <v/>
      </c>
      <c r="V196" s="948"/>
    </row>
    <row r="197" spans="1:22">
      <c r="A197" s="968"/>
      <c r="B197" s="969"/>
      <c r="C197" s="969"/>
      <c r="D197" s="968"/>
      <c r="E197" s="969"/>
      <c r="F197" s="971"/>
      <c r="G197" s="984"/>
      <c r="H197" s="985"/>
      <c r="I197" s="986">
        <f t="shared" si="15"/>
        <v>0</v>
      </c>
      <c r="J197" s="975"/>
      <c r="K197" s="969"/>
      <c r="L197" s="976"/>
      <c r="M197" s="969"/>
      <c r="N197" s="977">
        <f t="shared" si="12"/>
        <v>0</v>
      </c>
      <c r="O197" s="988"/>
      <c r="P197" s="978" t="str">
        <f t="shared" si="11"/>
        <v/>
      </c>
      <c r="Q197" s="979"/>
      <c r="R197" s="989"/>
      <c r="S197" s="978" t="str">
        <f t="shared" si="13"/>
        <v/>
      </c>
      <c r="T197" s="980"/>
      <c r="U197" s="981" t="str">
        <f t="shared" si="14"/>
        <v/>
      </c>
      <c r="V197" s="948"/>
    </row>
    <row r="198" spans="1:22">
      <c r="A198" s="968"/>
      <c r="B198" s="969"/>
      <c r="C198" s="969"/>
      <c r="D198" s="968"/>
      <c r="E198" s="969"/>
      <c r="F198" s="971"/>
      <c r="G198" s="984"/>
      <c r="H198" s="985"/>
      <c r="I198" s="986">
        <f t="shared" si="15"/>
        <v>0</v>
      </c>
      <c r="J198" s="975"/>
      <c r="K198" s="969"/>
      <c r="L198" s="976"/>
      <c r="M198" s="969"/>
      <c r="N198" s="977">
        <f t="shared" si="12"/>
        <v>0</v>
      </c>
      <c r="O198" s="988"/>
      <c r="P198" s="978" t="str">
        <f t="shared" si="11"/>
        <v/>
      </c>
      <c r="Q198" s="979"/>
      <c r="R198" s="989"/>
      <c r="S198" s="978" t="str">
        <f t="shared" si="13"/>
        <v/>
      </c>
      <c r="T198" s="980"/>
      <c r="U198" s="981" t="str">
        <f t="shared" si="14"/>
        <v/>
      </c>
      <c r="V198" s="948"/>
    </row>
    <row r="199" spans="1:22">
      <c r="A199" s="968"/>
      <c r="B199" s="969"/>
      <c r="C199" s="969"/>
      <c r="D199" s="968"/>
      <c r="E199" s="969"/>
      <c r="F199" s="971"/>
      <c r="G199" s="984"/>
      <c r="H199" s="985"/>
      <c r="I199" s="986">
        <f t="shared" si="15"/>
        <v>0</v>
      </c>
      <c r="J199" s="975"/>
      <c r="K199" s="969"/>
      <c r="L199" s="976"/>
      <c r="M199" s="969"/>
      <c r="N199" s="977">
        <f t="shared" si="12"/>
        <v>0</v>
      </c>
      <c r="O199" s="988"/>
      <c r="P199" s="978" t="str">
        <f t="shared" ref="P199:P262" si="16">IFERROR(N199/O199,"")</f>
        <v/>
      </c>
      <c r="Q199" s="979"/>
      <c r="R199" s="989"/>
      <c r="S199" s="978" t="str">
        <f t="shared" si="13"/>
        <v/>
      </c>
      <c r="T199" s="980"/>
      <c r="U199" s="981" t="str">
        <f t="shared" si="14"/>
        <v/>
      </c>
      <c r="V199" s="948"/>
    </row>
    <row r="200" spans="1:22">
      <c r="A200" s="968"/>
      <c r="B200" s="969"/>
      <c r="C200" s="969"/>
      <c r="D200" s="968"/>
      <c r="E200" s="969"/>
      <c r="F200" s="971"/>
      <c r="G200" s="984"/>
      <c r="H200" s="985"/>
      <c r="I200" s="986">
        <f t="shared" si="15"/>
        <v>0</v>
      </c>
      <c r="J200" s="975"/>
      <c r="K200" s="969"/>
      <c r="L200" s="976"/>
      <c r="M200" s="969"/>
      <c r="N200" s="977">
        <f t="shared" ref="N200:N263" si="17">SUM(L200:M200)</f>
        <v>0</v>
      </c>
      <c r="O200" s="988"/>
      <c r="P200" s="978" t="str">
        <f t="shared" si="16"/>
        <v/>
      </c>
      <c r="Q200" s="979"/>
      <c r="R200" s="989"/>
      <c r="S200" s="978" t="str">
        <f t="shared" ref="S200:S263" si="18">IFERROR(Q200/R200,"")</f>
        <v/>
      </c>
      <c r="T200" s="980"/>
      <c r="U200" s="981" t="str">
        <f t="shared" ref="U200:U263" si="19">IFERROR(I200*J200*K200/N200*IF($U$6="Variante 1",P200,IF($U$6="Variante 2",S200,T200)),"")</f>
        <v/>
      </c>
      <c r="V200" s="948"/>
    </row>
    <row r="201" spans="1:22">
      <c r="A201" s="968"/>
      <c r="B201" s="969"/>
      <c r="C201" s="969"/>
      <c r="D201" s="968"/>
      <c r="E201" s="969"/>
      <c r="F201" s="971"/>
      <c r="G201" s="984"/>
      <c r="H201" s="985"/>
      <c r="I201" s="986">
        <f t="shared" si="15"/>
        <v>0</v>
      </c>
      <c r="J201" s="975"/>
      <c r="K201" s="969"/>
      <c r="L201" s="976"/>
      <c r="M201" s="969"/>
      <c r="N201" s="977">
        <f t="shared" si="17"/>
        <v>0</v>
      </c>
      <c r="O201" s="988"/>
      <c r="P201" s="978" t="str">
        <f t="shared" si="16"/>
        <v/>
      </c>
      <c r="Q201" s="979"/>
      <c r="R201" s="989"/>
      <c r="S201" s="978" t="str">
        <f t="shared" si="18"/>
        <v/>
      </c>
      <c r="T201" s="980"/>
      <c r="U201" s="981" t="str">
        <f t="shared" si="19"/>
        <v/>
      </c>
      <c r="V201" s="948"/>
    </row>
    <row r="202" spans="1:22">
      <c r="A202" s="968"/>
      <c r="B202" s="969"/>
      <c r="C202" s="969"/>
      <c r="D202" s="968"/>
      <c r="E202" s="969"/>
      <c r="F202" s="971"/>
      <c r="G202" s="984"/>
      <c r="H202" s="985"/>
      <c r="I202" s="986">
        <f t="shared" si="15"/>
        <v>0</v>
      </c>
      <c r="J202" s="975"/>
      <c r="K202" s="969"/>
      <c r="L202" s="976"/>
      <c r="M202" s="969"/>
      <c r="N202" s="977">
        <f t="shared" si="17"/>
        <v>0</v>
      </c>
      <c r="O202" s="988"/>
      <c r="P202" s="978" t="str">
        <f t="shared" si="16"/>
        <v/>
      </c>
      <c r="Q202" s="979"/>
      <c r="R202" s="989"/>
      <c r="S202" s="978" t="str">
        <f t="shared" si="18"/>
        <v/>
      </c>
      <c r="T202" s="980"/>
      <c r="U202" s="981" t="str">
        <f t="shared" si="19"/>
        <v/>
      </c>
      <c r="V202" s="948"/>
    </row>
    <row r="203" spans="1:22">
      <c r="A203" s="968"/>
      <c r="B203" s="969"/>
      <c r="C203" s="969"/>
      <c r="D203" s="968"/>
      <c r="E203" s="969"/>
      <c r="F203" s="971"/>
      <c r="G203" s="984"/>
      <c r="H203" s="985"/>
      <c r="I203" s="986">
        <f t="shared" si="15"/>
        <v>0</v>
      </c>
      <c r="J203" s="975"/>
      <c r="K203" s="969"/>
      <c r="L203" s="976"/>
      <c r="M203" s="969"/>
      <c r="N203" s="977">
        <f t="shared" si="17"/>
        <v>0</v>
      </c>
      <c r="O203" s="988"/>
      <c r="P203" s="978" t="str">
        <f t="shared" si="16"/>
        <v/>
      </c>
      <c r="Q203" s="979"/>
      <c r="R203" s="989"/>
      <c r="S203" s="978" t="str">
        <f t="shared" si="18"/>
        <v/>
      </c>
      <c r="T203" s="980"/>
      <c r="U203" s="981" t="str">
        <f t="shared" si="19"/>
        <v/>
      </c>
      <c r="V203" s="948"/>
    </row>
    <row r="204" spans="1:22">
      <c r="A204" s="968"/>
      <c r="B204" s="969"/>
      <c r="C204" s="969"/>
      <c r="D204" s="968"/>
      <c r="E204" s="969"/>
      <c r="F204" s="971"/>
      <c r="G204" s="984"/>
      <c r="H204" s="985"/>
      <c r="I204" s="986">
        <f t="shared" si="15"/>
        <v>0</v>
      </c>
      <c r="J204" s="975"/>
      <c r="K204" s="969"/>
      <c r="L204" s="976"/>
      <c r="M204" s="969"/>
      <c r="N204" s="977">
        <f t="shared" si="17"/>
        <v>0</v>
      </c>
      <c r="O204" s="988"/>
      <c r="P204" s="978" t="str">
        <f t="shared" si="16"/>
        <v/>
      </c>
      <c r="Q204" s="979"/>
      <c r="R204" s="989"/>
      <c r="S204" s="978" t="str">
        <f t="shared" si="18"/>
        <v/>
      </c>
      <c r="T204" s="980"/>
      <c r="U204" s="981" t="str">
        <f t="shared" si="19"/>
        <v/>
      </c>
      <c r="V204" s="948"/>
    </row>
    <row r="205" spans="1:22">
      <c r="A205" s="968"/>
      <c r="B205" s="969"/>
      <c r="C205" s="969"/>
      <c r="D205" s="968"/>
      <c r="E205" s="969"/>
      <c r="F205" s="971"/>
      <c r="G205" s="984"/>
      <c r="H205" s="985"/>
      <c r="I205" s="986">
        <f t="shared" si="15"/>
        <v>0</v>
      </c>
      <c r="J205" s="975"/>
      <c r="K205" s="969"/>
      <c r="L205" s="976"/>
      <c r="M205" s="969"/>
      <c r="N205" s="977">
        <f t="shared" si="17"/>
        <v>0</v>
      </c>
      <c r="O205" s="988"/>
      <c r="P205" s="978" t="str">
        <f t="shared" si="16"/>
        <v/>
      </c>
      <c r="Q205" s="979"/>
      <c r="R205" s="989"/>
      <c r="S205" s="978" t="str">
        <f t="shared" si="18"/>
        <v/>
      </c>
      <c r="T205" s="980"/>
      <c r="U205" s="981" t="str">
        <f t="shared" si="19"/>
        <v/>
      </c>
      <c r="V205" s="948"/>
    </row>
    <row r="206" spans="1:22">
      <c r="A206" s="968"/>
      <c r="B206" s="969"/>
      <c r="C206" s="969"/>
      <c r="D206" s="968"/>
      <c r="E206" s="969"/>
      <c r="F206" s="971"/>
      <c r="G206" s="984"/>
      <c r="H206" s="985"/>
      <c r="I206" s="986">
        <f t="shared" si="15"/>
        <v>0</v>
      </c>
      <c r="J206" s="975"/>
      <c r="K206" s="969"/>
      <c r="L206" s="976"/>
      <c r="M206" s="969"/>
      <c r="N206" s="977">
        <f t="shared" si="17"/>
        <v>0</v>
      </c>
      <c r="O206" s="988"/>
      <c r="P206" s="978" t="str">
        <f t="shared" si="16"/>
        <v/>
      </c>
      <c r="Q206" s="979"/>
      <c r="R206" s="989"/>
      <c r="S206" s="978" t="str">
        <f t="shared" si="18"/>
        <v/>
      </c>
      <c r="T206" s="980"/>
      <c r="U206" s="981" t="str">
        <f t="shared" si="19"/>
        <v/>
      </c>
      <c r="V206" s="948"/>
    </row>
    <row r="207" spans="1:22">
      <c r="A207" s="968"/>
      <c r="B207" s="969"/>
      <c r="C207" s="969"/>
      <c r="D207" s="968"/>
      <c r="E207" s="969"/>
      <c r="F207" s="971"/>
      <c r="G207" s="984"/>
      <c r="H207" s="985"/>
      <c r="I207" s="986">
        <f t="shared" si="15"/>
        <v>0</v>
      </c>
      <c r="J207" s="975"/>
      <c r="K207" s="969"/>
      <c r="L207" s="976"/>
      <c r="M207" s="969"/>
      <c r="N207" s="977">
        <f t="shared" si="17"/>
        <v>0</v>
      </c>
      <c r="O207" s="988"/>
      <c r="P207" s="978" t="str">
        <f t="shared" si="16"/>
        <v/>
      </c>
      <c r="Q207" s="979"/>
      <c r="R207" s="989"/>
      <c r="S207" s="978" t="str">
        <f t="shared" si="18"/>
        <v/>
      </c>
      <c r="T207" s="980"/>
      <c r="U207" s="981" t="str">
        <f t="shared" si="19"/>
        <v/>
      </c>
      <c r="V207" s="948"/>
    </row>
    <row r="208" spans="1:22">
      <c r="A208" s="968"/>
      <c r="B208" s="969"/>
      <c r="C208" s="969"/>
      <c r="D208" s="968"/>
      <c r="E208" s="969"/>
      <c r="F208" s="971"/>
      <c r="G208" s="984"/>
      <c r="H208" s="985"/>
      <c r="I208" s="986">
        <f t="shared" si="15"/>
        <v>0</v>
      </c>
      <c r="J208" s="975"/>
      <c r="K208" s="969"/>
      <c r="L208" s="976"/>
      <c r="M208" s="969"/>
      <c r="N208" s="977">
        <f t="shared" si="17"/>
        <v>0</v>
      </c>
      <c r="O208" s="988"/>
      <c r="P208" s="978" t="str">
        <f t="shared" si="16"/>
        <v/>
      </c>
      <c r="Q208" s="979"/>
      <c r="R208" s="989"/>
      <c r="S208" s="978" t="str">
        <f t="shared" si="18"/>
        <v/>
      </c>
      <c r="T208" s="980"/>
      <c r="U208" s="981" t="str">
        <f t="shared" si="19"/>
        <v/>
      </c>
      <c r="V208" s="948"/>
    </row>
    <row r="209" spans="1:22">
      <c r="A209" s="968"/>
      <c r="B209" s="969"/>
      <c r="C209" s="969"/>
      <c r="D209" s="968"/>
      <c r="E209" s="969"/>
      <c r="F209" s="971"/>
      <c r="G209" s="984"/>
      <c r="H209" s="985"/>
      <c r="I209" s="986">
        <f t="shared" si="15"/>
        <v>0</v>
      </c>
      <c r="J209" s="975"/>
      <c r="K209" s="969"/>
      <c r="L209" s="976"/>
      <c r="M209" s="969"/>
      <c r="N209" s="977">
        <f t="shared" si="17"/>
        <v>0</v>
      </c>
      <c r="O209" s="988"/>
      <c r="P209" s="978" t="str">
        <f t="shared" si="16"/>
        <v/>
      </c>
      <c r="Q209" s="979"/>
      <c r="R209" s="989"/>
      <c r="S209" s="978" t="str">
        <f t="shared" si="18"/>
        <v/>
      </c>
      <c r="T209" s="980"/>
      <c r="U209" s="981" t="str">
        <f t="shared" si="19"/>
        <v/>
      </c>
      <c r="V209" s="948"/>
    </row>
    <row r="210" spans="1:22">
      <c r="A210" s="968"/>
      <c r="B210" s="969"/>
      <c r="C210" s="969"/>
      <c r="D210" s="968"/>
      <c r="E210" s="969"/>
      <c r="F210" s="971"/>
      <c r="G210" s="984"/>
      <c r="H210" s="985"/>
      <c r="I210" s="986">
        <f t="shared" si="15"/>
        <v>0</v>
      </c>
      <c r="J210" s="975"/>
      <c r="K210" s="969"/>
      <c r="L210" s="976"/>
      <c r="M210" s="969"/>
      <c r="N210" s="977">
        <f t="shared" si="17"/>
        <v>0</v>
      </c>
      <c r="O210" s="988"/>
      <c r="P210" s="978" t="str">
        <f t="shared" si="16"/>
        <v/>
      </c>
      <c r="Q210" s="979"/>
      <c r="R210" s="989"/>
      <c r="S210" s="978" t="str">
        <f t="shared" si="18"/>
        <v/>
      </c>
      <c r="T210" s="980"/>
      <c r="U210" s="981" t="str">
        <f t="shared" si="19"/>
        <v/>
      </c>
      <c r="V210" s="948"/>
    </row>
    <row r="211" spans="1:22">
      <c r="A211" s="968"/>
      <c r="B211" s="969"/>
      <c r="C211" s="969"/>
      <c r="D211" s="968"/>
      <c r="E211" s="969"/>
      <c r="F211" s="971"/>
      <c r="G211" s="984"/>
      <c r="H211" s="985"/>
      <c r="I211" s="986">
        <f t="shared" si="15"/>
        <v>0</v>
      </c>
      <c r="J211" s="975"/>
      <c r="K211" s="969"/>
      <c r="L211" s="976"/>
      <c r="M211" s="969"/>
      <c r="N211" s="977">
        <f t="shared" si="17"/>
        <v>0</v>
      </c>
      <c r="O211" s="988"/>
      <c r="P211" s="978" t="str">
        <f t="shared" si="16"/>
        <v/>
      </c>
      <c r="Q211" s="979"/>
      <c r="R211" s="989"/>
      <c r="S211" s="978" t="str">
        <f t="shared" si="18"/>
        <v/>
      </c>
      <c r="T211" s="980"/>
      <c r="U211" s="981" t="str">
        <f t="shared" si="19"/>
        <v/>
      </c>
      <c r="V211" s="948"/>
    </row>
    <row r="212" spans="1:22">
      <c r="A212" s="968"/>
      <c r="B212" s="969"/>
      <c r="C212" s="969"/>
      <c r="D212" s="968"/>
      <c r="E212" s="969"/>
      <c r="F212" s="971"/>
      <c r="G212" s="984"/>
      <c r="H212" s="985"/>
      <c r="I212" s="986">
        <f t="shared" si="15"/>
        <v>0</v>
      </c>
      <c r="J212" s="975"/>
      <c r="K212" s="969"/>
      <c r="L212" s="976"/>
      <c r="M212" s="969"/>
      <c r="N212" s="977">
        <f t="shared" si="17"/>
        <v>0</v>
      </c>
      <c r="O212" s="988"/>
      <c r="P212" s="978" t="str">
        <f t="shared" si="16"/>
        <v/>
      </c>
      <c r="Q212" s="979"/>
      <c r="R212" s="989"/>
      <c r="S212" s="978" t="str">
        <f t="shared" si="18"/>
        <v/>
      </c>
      <c r="T212" s="980"/>
      <c r="U212" s="981" t="str">
        <f t="shared" si="19"/>
        <v/>
      </c>
      <c r="V212" s="948"/>
    </row>
    <row r="213" spans="1:22">
      <c r="A213" s="968"/>
      <c r="B213" s="969"/>
      <c r="C213" s="969"/>
      <c r="D213" s="968"/>
      <c r="E213" s="969"/>
      <c r="F213" s="971"/>
      <c r="G213" s="984"/>
      <c r="H213" s="985"/>
      <c r="I213" s="986">
        <f t="shared" si="15"/>
        <v>0</v>
      </c>
      <c r="J213" s="975"/>
      <c r="K213" s="969"/>
      <c r="L213" s="976"/>
      <c r="M213" s="969"/>
      <c r="N213" s="977">
        <f t="shared" si="17"/>
        <v>0</v>
      </c>
      <c r="O213" s="988"/>
      <c r="P213" s="978" t="str">
        <f t="shared" si="16"/>
        <v/>
      </c>
      <c r="Q213" s="979"/>
      <c r="R213" s="989"/>
      <c r="S213" s="978" t="str">
        <f t="shared" si="18"/>
        <v/>
      </c>
      <c r="T213" s="980"/>
      <c r="U213" s="981" t="str">
        <f t="shared" si="19"/>
        <v/>
      </c>
      <c r="V213" s="948"/>
    </row>
    <row r="214" spans="1:22">
      <c r="A214" s="968"/>
      <c r="B214" s="969"/>
      <c r="C214" s="969"/>
      <c r="D214" s="968"/>
      <c r="E214" s="969"/>
      <c r="F214" s="971"/>
      <c r="G214" s="984"/>
      <c r="H214" s="985"/>
      <c r="I214" s="986">
        <f t="shared" si="15"/>
        <v>0</v>
      </c>
      <c r="J214" s="975"/>
      <c r="K214" s="969"/>
      <c r="L214" s="976"/>
      <c r="M214" s="969"/>
      <c r="N214" s="977">
        <f t="shared" si="17"/>
        <v>0</v>
      </c>
      <c r="O214" s="988"/>
      <c r="P214" s="978" t="str">
        <f t="shared" si="16"/>
        <v/>
      </c>
      <c r="Q214" s="979"/>
      <c r="R214" s="989"/>
      <c r="S214" s="978" t="str">
        <f t="shared" si="18"/>
        <v/>
      </c>
      <c r="T214" s="980"/>
      <c r="U214" s="981" t="str">
        <f t="shared" si="19"/>
        <v/>
      </c>
      <c r="V214" s="948"/>
    </row>
    <row r="215" spans="1:22">
      <c r="A215" s="968"/>
      <c r="B215" s="969"/>
      <c r="C215" s="969"/>
      <c r="D215" s="968"/>
      <c r="E215" s="969"/>
      <c r="F215" s="971"/>
      <c r="G215" s="984"/>
      <c r="H215" s="985"/>
      <c r="I215" s="986">
        <f t="shared" si="15"/>
        <v>0</v>
      </c>
      <c r="J215" s="975"/>
      <c r="K215" s="969"/>
      <c r="L215" s="976"/>
      <c r="M215" s="969"/>
      <c r="N215" s="977">
        <f t="shared" si="17"/>
        <v>0</v>
      </c>
      <c r="O215" s="988"/>
      <c r="P215" s="978" t="str">
        <f t="shared" si="16"/>
        <v/>
      </c>
      <c r="Q215" s="979"/>
      <c r="R215" s="989"/>
      <c r="S215" s="978" t="str">
        <f t="shared" si="18"/>
        <v/>
      </c>
      <c r="T215" s="980"/>
      <c r="U215" s="981" t="str">
        <f t="shared" si="19"/>
        <v/>
      </c>
      <c r="V215" s="948"/>
    </row>
    <row r="216" spans="1:22">
      <c r="A216" s="968"/>
      <c r="B216" s="969"/>
      <c r="C216" s="969"/>
      <c r="D216" s="968"/>
      <c r="E216" s="969"/>
      <c r="F216" s="971"/>
      <c r="G216" s="984"/>
      <c r="H216" s="985"/>
      <c r="I216" s="986">
        <f t="shared" ref="I216:I279" si="20">SUM(G216:H216)</f>
        <v>0</v>
      </c>
      <c r="J216" s="975"/>
      <c r="K216" s="969"/>
      <c r="L216" s="976"/>
      <c r="M216" s="969"/>
      <c r="N216" s="977">
        <f t="shared" si="17"/>
        <v>0</v>
      </c>
      <c r="O216" s="988"/>
      <c r="P216" s="978" t="str">
        <f t="shared" si="16"/>
        <v/>
      </c>
      <c r="Q216" s="979"/>
      <c r="R216" s="989"/>
      <c r="S216" s="978" t="str">
        <f t="shared" si="18"/>
        <v/>
      </c>
      <c r="T216" s="980"/>
      <c r="U216" s="981" t="str">
        <f t="shared" si="19"/>
        <v/>
      </c>
      <c r="V216" s="948"/>
    </row>
    <row r="217" spans="1:22">
      <c r="A217" s="968"/>
      <c r="B217" s="969"/>
      <c r="C217" s="969"/>
      <c r="D217" s="968"/>
      <c r="E217" s="969"/>
      <c r="F217" s="971"/>
      <c r="G217" s="984"/>
      <c r="H217" s="985"/>
      <c r="I217" s="986">
        <f t="shared" si="20"/>
        <v>0</v>
      </c>
      <c r="J217" s="975"/>
      <c r="K217" s="969"/>
      <c r="L217" s="976"/>
      <c r="M217" s="969"/>
      <c r="N217" s="977">
        <f t="shared" si="17"/>
        <v>0</v>
      </c>
      <c r="O217" s="988"/>
      <c r="P217" s="978" t="str">
        <f t="shared" si="16"/>
        <v/>
      </c>
      <c r="Q217" s="979"/>
      <c r="R217" s="989"/>
      <c r="S217" s="978" t="str">
        <f t="shared" si="18"/>
        <v/>
      </c>
      <c r="T217" s="980"/>
      <c r="U217" s="981" t="str">
        <f t="shared" si="19"/>
        <v/>
      </c>
      <c r="V217" s="948"/>
    </row>
    <row r="218" spans="1:22">
      <c r="A218" s="968"/>
      <c r="B218" s="969"/>
      <c r="C218" s="969"/>
      <c r="D218" s="968"/>
      <c r="E218" s="969"/>
      <c r="F218" s="971"/>
      <c r="G218" s="984"/>
      <c r="H218" s="985"/>
      <c r="I218" s="986">
        <f t="shared" si="20"/>
        <v>0</v>
      </c>
      <c r="J218" s="975"/>
      <c r="K218" s="969"/>
      <c r="L218" s="976"/>
      <c r="M218" s="969"/>
      <c r="N218" s="977">
        <f t="shared" si="17"/>
        <v>0</v>
      </c>
      <c r="O218" s="988"/>
      <c r="P218" s="978" t="str">
        <f t="shared" si="16"/>
        <v/>
      </c>
      <c r="Q218" s="979"/>
      <c r="R218" s="989"/>
      <c r="S218" s="978" t="str">
        <f t="shared" si="18"/>
        <v/>
      </c>
      <c r="T218" s="980"/>
      <c r="U218" s="981" t="str">
        <f t="shared" si="19"/>
        <v/>
      </c>
      <c r="V218" s="948"/>
    </row>
    <row r="219" spans="1:22">
      <c r="A219" s="968"/>
      <c r="B219" s="969"/>
      <c r="C219" s="969"/>
      <c r="D219" s="968"/>
      <c r="E219" s="969"/>
      <c r="F219" s="971"/>
      <c r="G219" s="984"/>
      <c r="H219" s="985"/>
      <c r="I219" s="986">
        <f t="shared" si="20"/>
        <v>0</v>
      </c>
      <c r="J219" s="975"/>
      <c r="K219" s="969"/>
      <c r="L219" s="976"/>
      <c r="M219" s="969"/>
      <c r="N219" s="977">
        <f t="shared" si="17"/>
        <v>0</v>
      </c>
      <c r="O219" s="988"/>
      <c r="P219" s="978" t="str">
        <f t="shared" si="16"/>
        <v/>
      </c>
      <c r="Q219" s="979"/>
      <c r="R219" s="989"/>
      <c r="S219" s="978" t="str">
        <f t="shared" si="18"/>
        <v/>
      </c>
      <c r="T219" s="980"/>
      <c r="U219" s="981" t="str">
        <f t="shared" si="19"/>
        <v/>
      </c>
      <c r="V219" s="948"/>
    </row>
    <row r="220" spans="1:22">
      <c r="A220" s="969"/>
      <c r="B220" s="969"/>
      <c r="C220" s="969"/>
      <c r="D220" s="968"/>
      <c r="E220" s="969"/>
      <c r="F220" s="971"/>
      <c r="G220" s="984"/>
      <c r="H220" s="985"/>
      <c r="I220" s="986">
        <f t="shared" si="20"/>
        <v>0</v>
      </c>
      <c r="J220" s="975"/>
      <c r="K220" s="969"/>
      <c r="L220" s="976"/>
      <c r="M220" s="969"/>
      <c r="N220" s="977">
        <f t="shared" si="17"/>
        <v>0</v>
      </c>
      <c r="O220" s="988"/>
      <c r="P220" s="978" t="str">
        <f t="shared" si="16"/>
        <v/>
      </c>
      <c r="Q220" s="979"/>
      <c r="R220" s="989"/>
      <c r="S220" s="978" t="str">
        <f t="shared" si="18"/>
        <v/>
      </c>
      <c r="T220" s="980"/>
      <c r="U220" s="990" t="str">
        <f t="shared" si="19"/>
        <v/>
      </c>
      <c r="V220" s="948"/>
    </row>
    <row r="221" spans="1:22">
      <c r="A221" s="969"/>
      <c r="B221" s="969"/>
      <c r="C221" s="969"/>
      <c r="D221" s="968"/>
      <c r="E221" s="969"/>
      <c r="F221" s="971"/>
      <c r="G221" s="984"/>
      <c r="H221" s="985"/>
      <c r="I221" s="986">
        <f t="shared" si="20"/>
        <v>0</v>
      </c>
      <c r="J221" s="975"/>
      <c r="K221" s="969"/>
      <c r="L221" s="976"/>
      <c r="M221" s="969"/>
      <c r="N221" s="977">
        <f t="shared" si="17"/>
        <v>0</v>
      </c>
      <c r="O221" s="988"/>
      <c r="P221" s="978" t="str">
        <f t="shared" si="16"/>
        <v/>
      </c>
      <c r="Q221" s="979"/>
      <c r="R221" s="989"/>
      <c r="S221" s="978" t="str">
        <f t="shared" si="18"/>
        <v/>
      </c>
      <c r="T221" s="980"/>
      <c r="U221" s="990" t="str">
        <f t="shared" si="19"/>
        <v/>
      </c>
    </row>
    <row r="222" spans="1:22">
      <c r="A222" s="969"/>
      <c r="B222" s="969"/>
      <c r="C222" s="969"/>
      <c r="D222" s="968"/>
      <c r="E222" s="969"/>
      <c r="F222" s="971"/>
      <c r="G222" s="984"/>
      <c r="H222" s="985"/>
      <c r="I222" s="986">
        <f t="shared" si="20"/>
        <v>0</v>
      </c>
      <c r="J222" s="975"/>
      <c r="K222" s="969"/>
      <c r="L222" s="976"/>
      <c r="M222" s="969"/>
      <c r="N222" s="977">
        <f t="shared" si="17"/>
        <v>0</v>
      </c>
      <c r="O222" s="988"/>
      <c r="P222" s="978" t="str">
        <f t="shared" si="16"/>
        <v/>
      </c>
      <c r="Q222" s="979"/>
      <c r="R222" s="989"/>
      <c r="S222" s="978" t="str">
        <f t="shared" si="18"/>
        <v/>
      </c>
      <c r="T222" s="980"/>
      <c r="U222" s="990" t="str">
        <f t="shared" si="19"/>
        <v/>
      </c>
    </row>
    <row r="223" spans="1:22">
      <c r="A223" s="969"/>
      <c r="B223" s="969"/>
      <c r="C223" s="969"/>
      <c r="D223" s="968"/>
      <c r="E223" s="969"/>
      <c r="F223" s="971"/>
      <c r="G223" s="984"/>
      <c r="H223" s="985"/>
      <c r="I223" s="986">
        <f t="shared" si="20"/>
        <v>0</v>
      </c>
      <c r="J223" s="975"/>
      <c r="K223" s="969"/>
      <c r="L223" s="976"/>
      <c r="M223" s="969"/>
      <c r="N223" s="977">
        <f t="shared" si="17"/>
        <v>0</v>
      </c>
      <c r="O223" s="988"/>
      <c r="P223" s="978" t="str">
        <f t="shared" si="16"/>
        <v/>
      </c>
      <c r="Q223" s="979"/>
      <c r="R223" s="989"/>
      <c r="S223" s="978" t="str">
        <f t="shared" si="18"/>
        <v/>
      </c>
      <c r="T223" s="980"/>
      <c r="U223" s="990" t="str">
        <f t="shared" si="19"/>
        <v/>
      </c>
    </row>
    <row r="224" spans="1:22">
      <c r="A224" s="969"/>
      <c r="B224" s="969"/>
      <c r="C224" s="969"/>
      <c r="D224" s="968"/>
      <c r="E224" s="969"/>
      <c r="F224" s="971"/>
      <c r="G224" s="984"/>
      <c r="H224" s="985"/>
      <c r="I224" s="986">
        <f t="shared" si="20"/>
        <v>0</v>
      </c>
      <c r="J224" s="975"/>
      <c r="K224" s="969"/>
      <c r="L224" s="976"/>
      <c r="M224" s="969"/>
      <c r="N224" s="977">
        <f t="shared" si="17"/>
        <v>0</v>
      </c>
      <c r="O224" s="988"/>
      <c r="P224" s="978" t="str">
        <f t="shared" si="16"/>
        <v/>
      </c>
      <c r="Q224" s="979"/>
      <c r="R224" s="989"/>
      <c r="S224" s="978" t="str">
        <f t="shared" si="18"/>
        <v/>
      </c>
      <c r="T224" s="980"/>
      <c r="U224" s="990" t="str">
        <f t="shared" si="19"/>
        <v/>
      </c>
    </row>
    <row r="225" spans="1:21">
      <c r="A225" s="969"/>
      <c r="B225" s="969"/>
      <c r="C225" s="969"/>
      <c r="D225" s="968"/>
      <c r="E225" s="969"/>
      <c r="F225" s="971"/>
      <c r="G225" s="984"/>
      <c r="H225" s="985"/>
      <c r="I225" s="986">
        <f t="shared" si="20"/>
        <v>0</v>
      </c>
      <c r="J225" s="975"/>
      <c r="K225" s="969"/>
      <c r="L225" s="976"/>
      <c r="M225" s="969"/>
      <c r="N225" s="977">
        <f t="shared" si="17"/>
        <v>0</v>
      </c>
      <c r="O225" s="988"/>
      <c r="P225" s="978" t="str">
        <f t="shared" si="16"/>
        <v/>
      </c>
      <c r="Q225" s="979"/>
      <c r="R225" s="989"/>
      <c r="S225" s="978" t="str">
        <f t="shared" si="18"/>
        <v/>
      </c>
      <c r="T225" s="980"/>
      <c r="U225" s="990" t="str">
        <f t="shared" si="19"/>
        <v/>
      </c>
    </row>
    <row r="226" spans="1:21">
      <c r="A226" s="969"/>
      <c r="B226" s="969"/>
      <c r="C226" s="969"/>
      <c r="D226" s="968"/>
      <c r="E226" s="969"/>
      <c r="F226" s="971"/>
      <c r="G226" s="984"/>
      <c r="H226" s="985"/>
      <c r="I226" s="986">
        <f t="shared" si="20"/>
        <v>0</v>
      </c>
      <c r="J226" s="975"/>
      <c r="K226" s="969"/>
      <c r="L226" s="976"/>
      <c r="M226" s="969"/>
      <c r="N226" s="977">
        <f t="shared" si="17"/>
        <v>0</v>
      </c>
      <c r="O226" s="988"/>
      <c r="P226" s="978" t="str">
        <f t="shared" si="16"/>
        <v/>
      </c>
      <c r="Q226" s="979"/>
      <c r="R226" s="989"/>
      <c r="S226" s="978" t="str">
        <f t="shared" si="18"/>
        <v/>
      </c>
      <c r="T226" s="980"/>
      <c r="U226" s="990" t="str">
        <f t="shared" si="19"/>
        <v/>
      </c>
    </row>
    <row r="227" spans="1:21">
      <c r="A227" s="969"/>
      <c r="B227" s="969"/>
      <c r="C227" s="969"/>
      <c r="D227" s="968"/>
      <c r="E227" s="969"/>
      <c r="F227" s="971"/>
      <c r="G227" s="984"/>
      <c r="H227" s="985"/>
      <c r="I227" s="986">
        <f t="shared" si="20"/>
        <v>0</v>
      </c>
      <c r="J227" s="975"/>
      <c r="K227" s="969"/>
      <c r="L227" s="976"/>
      <c r="M227" s="969"/>
      <c r="N227" s="977">
        <f t="shared" si="17"/>
        <v>0</v>
      </c>
      <c r="O227" s="988"/>
      <c r="P227" s="978" t="str">
        <f t="shared" si="16"/>
        <v/>
      </c>
      <c r="Q227" s="979"/>
      <c r="R227" s="989"/>
      <c r="S227" s="978" t="str">
        <f t="shared" si="18"/>
        <v/>
      </c>
      <c r="T227" s="980"/>
      <c r="U227" s="990" t="str">
        <f t="shared" si="19"/>
        <v/>
      </c>
    </row>
    <row r="228" spans="1:21">
      <c r="A228" s="969"/>
      <c r="B228" s="969"/>
      <c r="C228" s="969"/>
      <c r="D228" s="968"/>
      <c r="E228" s="969"/>
      <c r="F228" s="971"/>
      <c r="G228" s="984"/>
      <c r="H228" s="985"/>
      <c r="I228" s="986">
        <f t="shared" si="20"/>
        <v>0</v>
      </c>
      <c r="J228" s="975"/>
      <c r="K228" s="969"/>
      <c r="L228" s="976"/>
      <c r="M228" s="969"/>
      <c r="N228" s="977">
        <f t="shared" si="17"/>
        <v>0</v>
      </c>
      <c r="O228" s="988"/>
      <c r="P228" s="978" t="str">
        <f t="shared" si="16"/>
        <v/>
      </c>
      <c r="Q228" s="979"/>
      <c r="R228" s="989"/>
      <c r="S228" s="978" t="str">
        <f t="shared" si="18"/>
        <v/>
      </c>
      <c r="T228" s="980"/>
      <c r="U228" s="990" t="str">
        <f t="shared" si="19"/>
        <v/>
      </c>
    </row>
    <row r="229" spans="1:21">
      <c r="A229" s="969"/>
      <c r="B229" s="969"/>
      <c r="C229" s="969"/>
      <c r="D229" s="968"/>
      <c r="E229" s="969"/>
      <c r="F229" s="971"/>
      <c r="G229" s="984"/>
      <c r="H229" s="985"/>
      <c r="I229" s="986">
        <f t="shared" si="20"/>
        <v>0</v>
      </c>
      <c r="J229" s="975"/>
      <c r="K229" s="969"/>
      <c r="L229" s="976"/>
      <c r="M229" s="969"/>
      <c r="N229" s="977">
        <f t="shared" si="17"/>
        <v>0</v>
      </c>
      <c r="O229" s="988"/>
      <c r="P229" s="978" t="str">
        <f t="shared" si="16"/>
        <v/>
      </c>
      <c r="Q229" s="979"/>
      <c r="R229" s="989"/>
      <c r="S229" s="978" t="str">
        <f t="shared" si="18"/>
        <v/>
      </c>
      <c r="T229" s="980"/>
      <c r="U229" s="990" t="str">
        <f t="shared" si="19"/>
        <v/>
      </c>
    </row>
    <row r="230" spans="1:21">
      <c r="A230" s="969"/>
      <c r="B230" s="969"/>
      <c r="C230" s="969"/>
      <c r="D230" s="968"/>
      <c r="E230" s="969"/>
      <c r="F230" s="971"/>
      <c r="G230" s="984"/>
      <c r="H230" s="985"/>
      <c r="I230" s="986">
        <f t="shared" si="20"/>
        <v>0</v>
      </c>
      <c r="J230" s="975"/>
      <c r="K230" s="969"/>
      <c r="L230" s="976"/>
      <c r="M230" s="969"/>
      <c r="N230" s="977">
        <f t="shared" si="17"/>
        <v>0</v>
      </c>
      <c r="O230" s="988"/>
      <c r="P230" s="978" t="str">
        <f t="shared" si="16"/>
        <v/>
      </c>
      <c r="Q230" s="979"/>
      <c r="R230" s="989"/>
      <c r="S230" s="978" t="str">
        <f t="shared" si="18"/>
        <v/>
      </c>
      <c r="T230" s="980"/>
      <c r="U230" s="990" t="str">
        <f t="shared" si="19"/>
        <v/>
      </c>
    </row>
    <row r="231" spans="1:21">
      <c r="A231" s="969"/>
      <c r="B231" s="969"/>
      <c r="C231" s="969"/>
      <c r="D231" s="968"/>
      <c r="E231" s="969"/>
      <c r="F231" s="971"/>
      <c r="G231" s="984"/>
      <c r="H231" s="985"/>
      <c r="I231" s="986">
        <f t="shared" si="20"/>
        <v>0</v>
      </c>
      <c r="J231" s="975"/>
      <c r="K231" s="969"/>
      <c r="L231" s="976"/>
      <c r="M231" s="969"/>
      <c r="N231" s="977">
        <f t="shared" si="17"/>
        <v>0</v>
      </c>
      <c r="O231" s="988"/>
      <c r="P231" s="978" t="str">
        <f t="shared" si="16"/>
        <v/>
      </c>
      <c r="Q231" s="979"/>
      <c r="R231" s="989"/>
      <c r="S231" s="978" t="str">
        <f t="shared" si="18"/>
        <v/>
      </c>
      <c r="T231" s="980"/>
      <c r="U231" s="990" t="str">
        <f t="shared" si="19"/>
        <v/>
      </c>
    </row>
    <row r="232" spans="1:21">
      <c r="A232" s="969"/>
      <c r="B232" s="969"/>
      <c r="C232" s="969"/>
      <c r="D232" s="968"/>
      <c r="E232" s="969"/>
      <c r="F232" s="971"/>
      <c r="G232" s="984"/>
      <c r="H232" s="985"/>
      <c r="I232" s="986">
        <f t="shared" si="20"/>
        <v>0</v>
      </c>
      <c r="J232" s="975"/>
      <c r="K232" s="969"/>
      <c r="L232" s="976"/>
      <c r="M232" s="969"/>
      <c r="N232" s="977">
        <f t="shared" si="17"/>
        <v>0</v>
      </c>
      <c r="O232" s="988"/>
      <c r="P232" s="978" t="str">
        <f t="shared" si="16"/>
        <v/>
      </c>
      <c r="Q232" s="979"/>
      <c r="R232" s="989"/>
      <c r="S232" s="978" t="str">
        <f t="shared" si="18"/>
        <v/>
      </c>
      <c r="T232" s="980"/>
      <c r="U232" s="990" t="str">
        <f t="shared" si="19"/>
        <v/>
      </c>
    </row>
    <row r="233" spans="1:21">
      <c r="A233" s="969"/>
      <c r="B233" s="969"/>
      <c r="C233" s="969"/>
      <c r="D233" s="968"/>
      <c r="E233" s="969"/>
      <c r="F233" s="971"/>
      <c r="G233" s="984"/>
      <c r="H233" s="985"/>
      <c r="I233" s="986">
        <f t="shared" si="20"/>
        <v>0</v>
      </c>
      <c r="J233" s="975"/>
      <c r="K233" s="969"/>
      <c r="L233" s="976"/>
      <c r="M233" s="969"/>
      <c r="N233" s="977">
        <f t="shared" si="17"/>
        <v>0</v>
      </c>
      <c r="O233" s="988"/>
      <c r="P233" s="978" t="str">
        <f t="shared" si="16"/>
        <v/>
      </c>
      <c r="Q233" s="979"/>
      <c r="R233" s="989"/>
      <c r="S233" s="978" t="str">
        <f t="shared" si="18"/>
        <v/>
      </c>
      <c r="T233" s="980"/>
      <c r="U233" s="990" t="str">
        <f t="shared" si="19"/>
        <v/>
      </c>
    </row>
    <row r="234" spans="1:21">
      <c r="A234" s="969"/>
      <c r="B234" s="969"/>
      <c r="C234" s="969"/>
      <c r="D234" s="968"/>
      <c r="E234" s="969"/>
      <c r="F234" s="971"/>
      <c r="G234" s="984"/>
      <c r="H234" s="985"/>
      <c r="I234" s="986">
        <f t="shared" si="20"/>
        <v>0</v>
      </c>
      <c r="J234" s="975"/>
      <c r="K234" s="969"/>
      <c r="L234" s="976"/>
      <c r="M234" s="969"/>
      <c r="N234" s="977">
        <f t="shared" si="17"/>
        <v>0</v>
      </c>
      <c r="O234" s="988"/>
      <c r="P234" s="978" t="str">
        <f t="shared" si="16"/>
        <v/>
      </c>
      <c r="Q234" s="979"/>
      <c r="R234" s="989"/>
      <c r="S234" s="978" t="str">
        <f t="shared" si="18"/>
        <v/>
      </c>
      <c r="T234" s="980"/>
      <c r="U234" s="990" t="str">
        <f t="shared" si="19"/>
        <v/>
      </c>
    </row>
    <row r="235" spans="1:21">
      <c r="A235" s="969"/>
      <c r="B235" s="969"/>
      <c r="C235" s="969"/>
      <c r="D235" s="968"/>
      <c r="E235" s="969"/>
      <c r="F235" s="971"/>
      <c r="G235" s="984"/>
      <c r="H235" s="985"/>
      <c r="I235" s="986">
        <f t="shared" si="20"/>
        <v>0</v>
      </c>
      <c r="J235" s="975"/>
      <c r="K235" s="969"/>
      <c r="L235" s="976"/>
      <c r="M235" s="969"/>
      <c r="N235" s="977">
        <f t="shared" si="17"/>
        <v>0</v>
      </c>
      <c r="O235" s="988"/>
      <c r="P235" s="978" t="str">
        <f t="shared" si="16"/>
        <v/>
      </c>
      <c r="Q235" s="979"/>
      <c r="R235" s="989"/>
      <c r="S235" s="978" t="str">
        <f t="shared" si="18"/>
        <v/>
      </c>
      <c r="T235" s="980"/>
      <c r="U235" s="990" t="str">
        <f t="shared" si="19"/>
        <v/>
      </c>
    </row>
    <row r="236" spans="1:21">
      <c r="A236" s="969"/>
      <c r="B236" s="969"/>
      <c r="C236" s="969"/>
      <c r="D236" s="968"/>
      <c r="E236" s="969"/>
      <c r="F236" s="971"/>
      <c r="G236" s="984"/>
      <c r="H236" s="985"/>
      <c r="I236" s="986">
        <f t="shared" si="20"/>
        <v>0</v>
      </c>
      <c r="J236" s="975"/>
      <c r="K236" s="969"/>
      <c r="L236" s="976"/>
      <c r="M236" s="969"/>
      <c r="N236" s="977">
        <f t="shared" si="17"/>
        <v>0</v>
      </c>
      <c r="O236" s="988"/>
      <c r="P236" s="978" t="str">
        <f t="shared" si="16"/>
        <v/>
      </c>
      <c r="Q236" s="979"/>
      <c r="R236" s="989"/>
      <c r="S236" s="978" t="str">
        <f t="shared" si="18"/>
        <v/>
      </c>
      <c r="T236" s="980"/>
      <c r="U236" s="990" t="str">
        <f t="shared" si="19"/>
        <v/>
      </c>
    </row>
    <row r="237" spans="1:21">
      <c r="A237" s="969"/>
      <c r="B237" s="969"/>
      <c r="C237" s="969"/>
      <c r="D237" s="968"/>
      <c r="E237" s="969"/>
      <c r="F237" s="971"/>
      <c r="G237" s="984"/>
      <c r="H237" s="985"/>
      <c r="I237" s="986">
        <f t="shared" si="20"/>
        <v>0</v>
      </c>
      <c r="J237" s="975"/>
      <c r="K237" s="969"/>
      <c r="L237" s="976"/>
      <c r="M237" s="969"/>
      <c r="N237" s="977">
        <f t="shared" si="17"/>
        <v>0</v>
      </c>
      <c r="O237" s="988"/>
      <c r="P237" s="978" t="str">
        <f t="shared" si="16"/>
        <v/>
      </c>
      <c r="Q237" s="979"/>
      <c r="R237" s="989"/>
      <c r="S237" s="978" t="str">
        <f t="shared" si="18"/>
        <v/>
      </c>
      <c r="T237" s="980"/>
      <c r="U237" s="990" t="str">
        <f t="shared" si="19"/>
        <v/>
      </c>
    </row>
    <row r="238" spans="1:21">
      <c r="A238" s="969"/>
      <c r="B238" s="969"/>
      <c r="C238" s="969"/>
      <c r="D238" s="968"/>
      <c r="E238" s="969"/>
      <c r="F238" s="971"/>
      <c r="G238" s="984"/>
      <c r="H238" s="985"/>
      <c r="I238" s="986">
        <f t="shared" si="20"/>
        <v>0</v>
      </c>
      <c r="J238" s="975"/>
      <c r="K238" s="969"/>
      <c r="L238" s="976"/>
      <c r="M238" s="969"/>
      <c r="N238" s="977">
        <f t="shared" si="17"/>
        <v>0</v>
      </c>
      <c r="O238" s="988"/>
      <c r="P238" s="978" t="str">
        <f t="shared" si="16"/>
        <v/>
      </c>
      <c r="Q238" s="979"/>
      <c r="R238" s="989"/>
      <c r="S238" s="978" t="str">
        <f t="shared" si="18"/>
        <v/>
      </c>
      <c r="T238" s="980"/>
      <c r="U238" s="990" t="str">
        <f t="shared" si="19"/>
        <v/>
      </c>
    </row>
    <row r="239" spans="1:21">
      <c r="A239" s="969"/>
      <c r="B239" s="969"/>
      <c r="C239" s="969"/>
      <c r="D239" s="968"/>
      <c r="E239" s="969"/>
      <c r="F239" s="971"/>
      <c r="G239" s="984"/>
      <c r="H239" s="985"/>
      <c r="I239" s="986">
        <f t="shared" si="20"/>
        <v>0</v>
      </c>
      <c r="J239" s="975"/>
      <c r="K239" s="969"/>
      <c r="L239" s="976"/>
      <c r="M239" s="969"/>
      <c r="N239" s="977">
        <f t="shared" si="17"/>
        <v>0</v>
      </c>
      <c r="O239" s="988"/>
      <c r="P239" s="978" t="str">
        <f t="shared" si="16"/>
        <v/>
      </c>
      <c r="Q239" s="979"/>
      <c r="R239" s="989"/>
      <c r="S239" s="978" t="str">
        <f t="shared" si="18"/>
        <v/>
      </c>
      <c r="T239" s="980"/>
      <c r="U239" s="990" t="str">
        <f t="shared" si="19"/>
        <v/>
      </c>
    </row>
    <row r="240" spans="1:21">
      <c r="A240" s="969"/>
      <c r="B240" s="969"/>
      <c r="C240" s="969"/>
      <c r="D240" s="968"/>
      <c r="E240" s="969"/>
      <c r="F240" s="971"/>
      <c r="G240" s="984"/>
      <c r="H240" s="985"/>
      <c r="I240" s="986">
        <f t="shared" si="20"/>
        <v>0</v>
      </c>
      <c r="J240" s="975"/>
      <c r="K240" s="969"/>
      <c r="L240" s="976"/>
      <c r="M240" s="969"/>
      <c r="N240" s="977">
        <f t="shared" si="17"/>
        <v>0</v>
      </c>
      <c r="O240" s="988"/>
      <c r="P240" s="978" t="str">
        <f t="shared" si="16"/>
        <v/>
      </c>
      <c r="Q240" s="979"/>
      <c r="R240" s="989"/>
      <c r="S240" s="978" t="str">
        <f t="shared" si="18"/>
        <v/>
      </c>
      <c r="T240" s="980"/>
      <c r="U240" s="990" t="str">
        <f t="shared" si="19"/>
        <v/>
      </c>
    </row>
    <row r="241" spans="1:21">
      <c r="A241" s="969"/>
      <c r="B241" s="969"/>
      <c r="C241" s="969"/>
      <c r="D241" s="968"/>
      <c r="E241" s="969"/>
      <c r="F241" s="971"/>
      <c r="G241" s="984"/>
      <c r="H241" s="985"/>
      <c r="I241" s="986">
        <f t="shared" si="20"/>
        <v>0</v>
      </c>
      <c r="J241" s="975"/>
      <c r="K241" s="969"/>
      <c r="L241" s="976"/>
      <c r="M241" s="969"/>
      <c r="N241" s="977">
        <f t="shared" si="17"/>
        <v>0</v>
      </c>
      <c r="O241" s="988"/>
      <c r="P241" s="978" t="str">
        <f t="shared" si="16"/>
        <v/>
      </c>
      <c r="Q241" s="979"/>
      <c r="R241" s="989"/>
      <c r="S241" s="978" t="str">
        <f t="shared" si="18"/>
        <v/>
      </c>
      <c r="T241" s="980"/>
      <c r="U241" s="990" t="str">
        <f t="shared" si="19"/>
        <v/>
      </c>
    </row>
    <row r="242" spans="1:21">
      <c r="A242" s="969"/>
      <c r="B242" s="969"/>
      <c r="C242" s="969"/>
      <c r="D242" s="968"/>
      <c r="E242" s="969"/>
      <c r="F242" s="971"/>
      <c r="G242" s="984"/>
      <c r="H242" s="985"/>
      <c r="I242" s="986">
        <f t="shared" si="20"/>
        <v>0</v>
      </c>
      <c r="J242" s="975"/>
      <c r="K242" s="969"/>
      <c r="L242" s="976"/>
      <c r="M242" s="969"/>
      <c r="N242" s="977">
        <f t="shared" si="17"/>
        <v>0</v>
      </c>
      <c r="O242" s="988"/>
      <c r="P242" s="978" t="str">
        <f t="shared" si="16"/>
        <v/>
      </c>
      <c r="Q242" s="979"/>
      <c r="R242" s="989"/>
      <c r="S242" s="978" t="str">
        <f t="shared" si="18"/>
        <v/>
      </c>
      <c r="T242" s="980"/>
      <c r="U242" s="990" t="str">
        <f t="shared" si="19"/>
        <v/>
      </c>
    </row>
    <row r="243" spans="1:21">
      <c r="A243" s="969"/>
      <c r="B243" s="969"/>
      <c r="C243" s="969"/>
      <c r="D243" s="968"/>
      <c r="E243" s="969"/>
      <c r="F243" s="971"/>
      <c r="G243" s="984"/>
      <c r="H243" s="985"/>
      <c r="I243" s="986">
        <f t="shared" si="20"/>
        <v>0</v>
      </c>
      <c r="J243" s="975"/>
      <c r="K243" s="969"/>
      <c r="L243" s="976"/>
      <c r="M243" s="969"/>
      <c r="N243" s="977">
        <f t="shared" si="17"/>
        <v>0</v>
      </c>
      <c r="O243" s="988"/>
      <c r="P243" s="978" t="str">
        <f t="shared" si="16"/>
        <v/>
      </c>
      <c r="Q243" s="979"/>
      <c r="R243" s="989"/>
      <c r="S243" s="978" t="str">
        <f t="shared" si="18"/>
        <v/>
      </c>
      <c r="T243" s="980"/>
      <c r="U243" s="990" t="str">
        <f t="shared" si="19"/>
        <v/>
      </c>
    </row>
    <row r="244" spans="1:21">
      <c r="A244" s="969"/>
      <c r="B244" s="969"/>
      <c r="C244" s="969"/>
      <c r="D244" s="968"/>
      <c r="E244" s="969"/>
      <c r="F244" s="971"/>
      <c r="G244" s="984"/>
      <c r="H244" s="985"/>
      <c r="I244" s="986">
        <f t="shared" si="20"/>
        <v>0</v>
      </c>
      <c r="J244" s="975"/>
      <c r="K244" s="969"/>
      <c r="L244" s="976"/>
      <c r="M244" s="969"/>
      <c r="N244" s="977">
        <f t="shared" si="17"/>
        <v>0</v>
      </c>
      <c r="O244" s="988"/>
      <c r="P244" s="978" t="str">
        <f t="shared" si="16"/>
        <v/>
      </c>
      <c r="Q244" s="979"/>
      <c r="R244" s="989"/>
      <c r="S244" s="978" t="str">
        <f t="shared" si="18"/>
        <v/>
      </c>
      <c r="T244" s="980"/>
      <c r="U244" s="990" t="str">
        <f t="shared" si="19"/>
        <v/>
      </c>
    </row>
    <row r="245" spans="1:21">
      <c r="A245" s="969"/>
      <c r="B245" s="969"/>
      <c r="C245" s="969"/>
      <c r="D245" s="968"/>
      <c r="E245" s="969"/>
      <c r="F245" s="971"/>
      <c r="G245" s="984"/>
      <c r="H245" s="985"/>
      <c r="I245" s="986">
        <f t="shared" si="20"/>
        <v>0</v>
      </c>
      <c r="J245" s="975"/>
      <c r="K245" s="969"/>
      <c r="L245" s="976"/>
      <c r="M245" s="969"/>
      <c r="N245" s="977">
        <f t="shared" si="17"/>
        <v>0</v>
      </c>
      <c r="O245" s="988"/>
      <c r="P245" s="978" t="str">
        <f t="shared" si="16"/>
        <v/>
      </c>
      <c r="Q245" s="979"/>
      <c r="R245" s="989"/>
      <c r="S245" s="978" t="str">
        <f t="shared" si="18"/>
        <v/>
      </c>
      <c r="T245" s="980"/>
      <c r="U245" s="990" t="str">
        <f t="shared" si="19"/>
        <v/>
      </c>
    </row>
    <row r="246" spans="1:21">
      <c r="A246" s="969"/>
      <c r="B246" s="969"/>
      <c r="C246" s="969"/>
      <c r="D246" s="968"/>
      <c r="E246" s="969"/>
      <c r="F246" s="971"/>
      <c r="G246" s="984"/>
      <c r="H246" s="985"/>
      <c r="I246" s="986">
        <f t="shared" si="20"/>
        <v>0</v>
      </c>
      <c r="J246" s="975"/>
      <c r="K246" s="969"/>
      <c r="L246" s="976"/>
      <c r="M246" s="969"/>
      <c r="N246" s="977">
        <f t="shared" si="17"/>
        <v>0</v>
      </c>
      <c r="O246" s="988"/>
      <c r="P246" s="978" t="str">
        <f t="shared" si="16"/>
        <v/>
      </c>
      <c r="Q246" s="979"/>
      <c r="R246" s="989"/>
      <c r="S246" s="978" t="str">
        <f t="shared" si="18"/>
        <v/>
      </c>
      <c r="T246" s="980"/>
      <c r="U246" s="990" t="str">
        <f t="shared" si="19"/>
        <v/>
      </c>
    </row>
    <row r="247" spans="1:21">
      <c r="A247" s="969"/>
      <c r="B247" s="969"/>
      <c r="C247" s="969"/>
      <c r="D247" s="968"/>
      <c r="E247" s="969"/>
      <c r="F247" s="971"/>
      <c r="G247" s="984"/>
      <c r="H247" s="985"/>
      <c r="I247" s="986">
        <f t="shared" si="20"/>
        <v>0</v>
      </c>
      <c r="J247" s="975"/>
      <c r="K247" s="969"/>
      <c r="L247" s="976"/>
      <c r="M247" s="969"/>
      <c r="N247" s="977">
        <f t="shared" si="17"/>
        <v>0</v>
      </c>
      <c r="O247" s="988"/>
      <c r="P247" s="978" t="str">
        <f t="shared" si="16"/>
        <v/>
      </c>
      <c r="Q247" s="979"/>
      <c r="R247" s="989"/>
      <c r="S247" s="978" t="str">
        <f t="shared" si="18"/>
        <v/>
      </c>
      <c r="T247" s="980"/>
      <c r="U247" s="990" t="str">
        <f t="shared" si="19"/>
        <v/>
      </c>
    </row>
    <row r="248" spans="1:21">
      <c r="A248" s="969"/>
      <c r="B248" s="969"/>
      <c r="C248" s="969"/>
      <c r="D248" s="968"/>
      <c r="E248" s="969"/>
      <c r="F248" s="971"/>
      <c r="G248" s="984"/>
      <c r="H248" s="985"/>
      <c r="I248" s="986">
        <f t="shared" si="20"/>
        <v>0</v>
      </c>
      <c r="J248" s="975"/>
      <c r="K248" s="969"/>
      <c r="L248" s="976"/>
      <c r="M248" s="969"/>
      <c r="N248" s="977">
        <f t="shared" si="17"/>
        <v>0</v>
      </c>
      <c r="O248" s="988"/>
      <c r="P248" s="978" t="str">
        <f t="shared" si="16"/>
        <v/>
      </c>
      <c r="Q248" s="979"/>
      <c r="R248" s="989"/>
      <c r="S248" s="978" t="str">
        <f t="shared" si="18"/>
        <v/>
      </c>
      <c r="T248" s="980"/>
      <c r="U248" s="990" t="str">
        <f t="shared" si="19"/>
        <v/>
      </c>
    </row>
    <row r="249" spans="1:21">
      <c r="A249" s="969"/>
      <c r="B249" s="969"/>
      <c r="C249" s="969"/>
      <c r="D249" s="968"/>
      <c r="E249" s="969"/>
      <c r="F249" s="971"/>
      <c r="G249" s="984"/>
      <c r="H249" s="985"/>
      <c r="I249" s="986">
        <f t="shared" si="20"/>
        <v>0</v>
      </c>
      <c r="J249" s="975"/>
      <c r="K249" s="969"/>
      <c r="L249" s="976"/>
      <c r="M249" s="969"/>
      <c r="N249" s="977">
        <f t="shared" si="17"/>
        <v>0</v>
      </c>
      <c r="O249" s="988"/>
      <c r="P249" s="978" t="str">
        <f t="shared" si="16"/>
        <v/>
      </c>
      <c r="Q249" s="979"/>
      <c r="R249" s="989"/>
      <c r="S249" s="978" t="str">
        <f t="shared" si="18"/>
        <v/>
      </c>
      <c r="T249" s="980"/>
      <c r="U249" s="990" t="str">
        <f t="shared" si="19"/>
        <v/>
      </c>
    </row>
    <row r="250" spans="1:21">
      <c r="A250" s="969"/>
      <c r="B250" s="969"/>
      <c r="C250" s="969"/>
      <c r="D250" s="968"/>
      <c r="E250" s="969"/>
      <c r="F250" s="971"/>
      <c r="G250" s="984"/>
      <c r="H250" s="985"/>
      <c r="I250" s="986">
        <f t="shared" si="20"/>
        <v>0</v>
      </c>
      <c r="J250" s="975"/>
      <c r="K250" s="969"/>
      <c r="L250" s="976"/>
      <c r="M250" s="969"/>
      <c r="N250" s="977">
        <f t="shared" si="17"/>
        <v>0</v>
      </c>
      <c r="O250" s="988"/>
      <c r="P250" s="978" t="str">
        <f t="shared" si="16"/>
        <v/>
      </c>
      <c r="Q250" s="979"/>
      <c r="R250" s="989"/>
      <c r="S250" s="978" t="str">
        <f t="shared" si="18"/>
        <v/>
      </c>
      <c r="T250" s="980"/>
      <c r="U250" s="990" t="str">
        <f t="shared" si="19"/>
        <v/>
      </c>
    </row>
    <row r="251" spans="1:21">
      <c r="A251" s="969"/>
      <c r="B251" s="969"/>
      <c r="C251" s="969"/>
      <c r="D251" s="968"/>
      <c r="E251" s="969"/>
      <c r="F251" s="971"/>
      <c r="G251" s="984"/>
      <c r="H251" s="985"/>
      <c r="I251" s="986">
        <f t="shared" si="20"/>
        <v>0</v>
      </c>
      <c r="J251" s="975"/>
      <c r="K251" s="969"/>
      <c r="L251" s="976"/>
      <c r="M251" s="969"/>
      <c r="N251" s="977">
        <f t="shared" si="17"/>
        <v>0</v>
      </c>
      <c r="O251" s="988"/>
      <c r="P251" s="978" t="str">
        <f t="shared" si="16"/>
        <v/>
      </c>
      <c r="Q251" s="979"/>
      <c r="R251" s="989"/>
      <c r="S251" s="978" t="str">
        <f t="shared" si="18"/>
        <v/>
      </c>
      <c r="T251" s="980"/>
      <c r="U251" s="990" t="str">
        <f t="shared" si="19"/>
        <v/>
      </c>
    </row>
    <row r="252" spans="1:21">
      <c r="A252" s="969"/>
      <c r="B252" s="969"/>
      <c r="C252" s="969"/>
      <c r="D252" s="968"/>
      <c r="E252" s="969"/>
      <c r="F252" s="971"/>
      <c r="G252" s="984"/>
      <c r="H252" s="985"/>
      <c r="I252" s="986">
        <f t="shared" si="20"/>
        <v>0</v>
      </c>
      <c r="J252" s="975"/>
      <c r="K252" s="969"/>
      <c r="L252" s="976"/>
      <c r="M252" s="969"/>
      <c r="N252" s="977">
        <f t="shared" si="17"/>
        <v>0</v>
      </c>
      <c r="O252" s="988"/>
      <c r="P252" s="978" t="str">
        <f t="shared" si="16"/>
        <v/>
      </c>
      <c r="Q252" s="979"/>
      <c r="R252" s="989"/>
      <c r="S252" s="978" t="str">
        <f t="shared" si="18"/>
        <v/>
      </c>
      <c r="T252" s="980"/>
      <c r="U252" s="990" t="str">
        <f t="shared" si="19"/>
        <v/>
      </c>
    </row>
    <row r="253" spans="1:21">
      <c r="A253" s="969"/>
      <c r="B253" s="969"/>
      <c r="C253" s="969"/>
      <c r="D253" s="968"/>
      <c r="E253" s="969"/>
      <c r="F253" s="971"/>
      <c r="G253" s="984"/>
      <c r="H253" s="985"/>
      <c r="I253" s="986">
        <f t="shared" si="20"/>
        <v>0</v>
      </c>
      <c r="J253" s="975"/>
      <c r="K253" s="969"/>
      <c r="L253" s="976"/>
      <c r="M253" s="969"/>
      <c r="N253" s="977">
        <f t="shared" si="17"/>
        <v>0</v>
      </c>
      <c r="O253" s="988"/>
      <c r="P253" s="978" t="str">
        <f t="shared" si="16"/>
        <v/>
      </c>
      <c r="Q253" s="979"/>
      <c r="R253" s="989"/>
      <c r="S253" s="978" t="str">
        <f t="shared" si="18"/>
        <v/>
      </c>
      <c r="T253" s="980"/>
      <c r="U253" s="990" t="str">
        <f t="shared" si="19"/>
        <v/>
      </c>
    </row>
    <row r="254" spans="1:21">
      <c r="A254" s="969"/>
      <c r="B254" s="969"/>
      <c r="C254" s="969"/>
      <c r="D254" s="968"/>
      <c r="E254" s="969"/>
      <c r="F254" s="971"/>
      <c r="G254" s="984"/>
      <c r="H254" s="985"/>
      <c r="I254" s="986">
        <f t="shared" si="20"/>
        <v>0</v>
      </c>
      <c r="J254" s="975"/>
      <c r="K254" s="969"/>
      <c r="L254" s="976"/>
      <c r="M254" s="969"/>
      <c r="N254" s="977">
        <f t="shared" si="17"/>
        <v>0</v>
      </c>
      <c r="O254" s="988"/>
      <c r="P254" s="978" t="str">
        <f t="shared" si="16"/>
        <v/>
      </c>
      <c r="Q254" s="979"/>
      <c r="R254" s="989"/>
      <c r="S254" s="978" t="str">
        <f t="shared" si="18"/>
        <v/>
      </c>
      <c r="T254" s="980"/>
      <c r="U254" s="990" t="str">
        <f t="shared" si="19"/>
        <v/>
      </c>
    </row>
    <row r="255" spans="1:21">
      <c r="A255" s="969"/>
      <c r="B255" s="969"/>
      <c r="C255" s="969"/>
      <c r="D255" s="968"/>
      <c r="E255" s="969"/>
      <c r="F255" s="971"/>
      <c r="G255" s="984"/>
      <c r="H255" s="985"/>
      <c r="I255" s="986">
        <f t="shared" si="20"/>
        <v>0</v>
      </c>
      <c r="J255" s="975"/>
      <c r="K255" s="969"/>
      <c r="L255" s="976"/>
      <c r="M255" s="969"/>
      <c r="N255" s="977">
        <f t="shared" si="17"/>
        <v>0</v>
      </c>
      <c r="O255" s="988"/>
      <c r="P255" s="978" t="str">
        <f t="shared" si="16"/>
        <v/>
      </c>
      <c r="Q255" s="979"/>
      <c r="R255" s="989"/>
      <c r="S255" s="978" t="str">
        <f t="shared" si="18"/>
        <v/>
      </c>
      <c r="T255" s="980"/>
      <c r="U255" s="990" t="str">
        <f t="shared" si="19"/>
        <v/>
      </c>
    </row>
    <row r="256" spans="1:21">
      <c r="A256" s="969"/>
      <c r="B256" s="969"/>
      <c r="C256" s="969"/>
      <c r="D256" s="968"/>
      <c r="E256" s="969"/>
      <c r="F256" s="971"/>
      <c r="G256" s="984"/>
      <c r="H256" s="985"/>
      <c r="I256" s="986">
        <f t="shared" si="20"/>
        <v>0</v>
      </c>
      <c r="J256" s="975"/>
      <c r="K256" s="969"/>
      <c r="L256" s="976"/>
      <c r="M256" s="969"/>
      <c r="N256" s="977">
        <f t="shared" si="17"/>
        <v>0</v>
      </c>
      <c r="O256" s="988"/>
      <c r="P256" s="978" t="str">
        <f t="shared" si="16"/>
        <v/>
      </c>
      <c r="Q256" s="979"/>
      <c r="R256" s="989"/>
      <c r="S256" s="978" t="str">
        <f t="shared" si="18"/>
        <v/>
      </c>
      <c r="T256" s="980"/>
      <c r="U256" s="990" t="str">
        <f t="shared" si="19"/>
        <v/>
      </c>
    </row>
    <row r="257" spans="1:21">
      <c r="A257" s="969"/>
      <c r="B257" s="969"/>
      <c r="C257" s="969"/>
      <c r="D257" s="968"/>
      <c r="E257" s="969"/>
      <c r="F257" s="971"/>
      <c r="G257" s="984"/>
      <c r="H257" s="985"/>
      <c r="I257" s="986">
        <f t="shared" si="20"/>
        <v>0</v>
      </c>
      <c r="J257" s="975"/>
      <c r="K257" s="969"/>
      <c r="L257" s="976"/>
      <c r="M257" s="969"/>
      <c r="N257" s="977">
        <f t="shared" si="17"/>
        <v>0</v>
      </c>
      <c r="O257" s="988"/>
      <c r="P257" s="978" t="str">
        <f t="shared" si="16"/>
        <v/>
      </c>
      <c r="Q257" s="979"/>
      <c r="R257" s="989"/>
      <c r="S257" s="978" t="str">
        <f t="shared" si="18"/>
        <v/>
      </c>
      <c r="T257" s="980"/>
      <c r="U257" s="990" t="str">
        <f t="shared" si="19"/>
        <v/>
      </c>
    </row>
    <row r="258" spans="1:21">
      <c r="A258" s="969"/>
      <c r="B258" s="969"/>
      <c r="C258" s="969"/>
      <c r="D258" s="968"/>
      <c r="E258" s="969"/>
      <c r="F258" s="971"/>
      <c r="G258" s="984"/>
      <c r="H258" s="985"/>
      <c r="I258" s="986">
        <f t="shared" si="20"/>
        <v>0</v>
      </c>
      <c r="J258" s="975"/>
      <c r="K258" s="969"/>
      <c r="L258" s="976"/>
      <c r="M258" s="969"/>
      <c r="N258" s="977">
        <f t="shared" si="17"/>
        <v>0</v>
      </c>
      <c r="O258" s="988"/>
      <c r="P258" s="978" t="str">
        <f t="shared" si="16"/>
        <v/>
      </c>
      <c r="Q258" s="979"/>
      <c r="R258" s="989"/>
      <c r="S258" s="978" t="str">
        <f t="shared" si="18"/>
        <v/>
      </c>
      <c r="T258" s="980"/>
      <c r="U258" s="990" t="str">
        <f t="shared" si="19"/>
        <v/>
      </c>
    </row>
    <row r="259" spans="1:21">
      <c r="A259" s="969"/>
      <c r="B259" s="969"/>
      <c r="C259" s="969"/>
      <c r="D259" s="968"/>
      <c r="E259" s="969"/>
      <c r="F259" s="971"/>
      <c r="G259" s="984"/>
      <c r="H259" s="985"/>
      <c r="I259" s="986">
        <f t="shared" si="20"/>
        <v>0</v>
      </c>
      <c r="J259" s="975"/>
      <c r="K259" s="969"/>
      <c r="L259" s="976"/>
      <c r="M259" s="969"/>
      <c r="N259" s="977">
        <f t="shared" si="17"/>
        <v>0</v>
      </c>
      <c r="O259" s="988"/>
      <c r="P259" s="978" t="str">
        <f t="shared" si="16"/>
        <v/>
      </c>
      <c r="Q259" s="979"/>
      <c r="R259" s="989"/>
      <c r="S259" s="978" t="str">
        <f t="shared" si="18"/>
        <v/>
      </c>
      <c r="T259" s="980"/>
      <c r="U259" s="990" t="str">
        <f t="shared" si="19"/>
        <v/>
      </c>
    </row>
    <row r="260" spans="1:21">
      <c r="A260" s="969"/>
      <c r="B260" s="969"/>
      <c r="C260" s="969"/>
      <c r="D260" s="968"/>
      <c r="E260" s="969"/>
      <c r="F260" s="971"/>
      <c r="G260" s="984"/>
      <c r="H260" s="985"/>
      <c r="I260" s="986">
        <f t="shared" si="20"/>
        <v>0</v>
      </c>
      <c r="J260" s="975"/>
      <c r="K260" s="969"/>
      <c r="L260" s="976"/>
      <c r="M260" s="969"/>
      <c r="N260" s="977">
        <f t="shared" si="17"/>
        <v>0</v>
      </c>
      <c r="O260" s="988"/>
      <c r="P260" s="978" t="str">
        <f t="shared" si="16"/>
        <v/>
      </c>
      <c r="Q260" s="979"/>
      <c r="R260" s="989"/>
      <c r="S260" s="978" t="str">
        <f t="shared" si="18"/>
        <v/>
      </c>
      <c r="T260" s="980"/>
      <c r="U260" s="990" t="str">
        <f t="shared" si="19"/>
        <v/>
      </c>
    </row>
    <row r="261" spans="1:21">
      <c r="A261" s="969"/>
      <c r="B261" s="969"/>
      <c r="C261" s="969"/>
      <c r="D261" s="968"/>
      <c r="E261" s="969"/>
      <c r="F261" s="971"/>
      <c r="G261" s="984"/>
      <c r="H261" s="985"/>
      <c r="I261" s="986">
        <f t="shared" si="20"/>
        <v>0</v>
      </c>
      <c r="J261" s="975"/>
      <c r="K261" s="969"/>
      <c r="L261" s="976"/>
      <c r="M261" s="969"/>
      <c r="N261" s="977">
        <f t="shared" si="17"/>
        <v>0</v>
      </c>
      <c r="O261" s="988"/>
      <c r="P261" s="978" t="str">
        <f t="shared" si="16"/>
        <v/>
      </c>
      <c r="Q261" s="979"/>
      <c r="R261" s="989"/>
      <c r="S261" s="978" t="str">
        <f t="shared" si="18"/>
        <v/>
      </c>
      <c r="T261" s="980"/>
      <c r="U261" s="990" t="str">
        <f t="shared" si="19"/>
        <v/>
      </c>
    </row>
    <row r="262" spans="1:21">
      <c r="A262" s="969"/>
      <c r="B262" s="969"/>
      <c r="C262" s="969"/>
      <c r="D262" s="968"/>
      <c r="E262" s="969"/>
      <c r="F262" s="971"/>
      <c r="G262" s="984"/>
      <c r="H262" s="985"/>
      <c r="I262" s="986">
        <f t="shared" si="20"/>
        <v>0</v>
      </c>
      <c r="J262" s="975"/>
      <c r="K262" s="969"/>
      <c r="L262" s="976"/>
      <c r="M262" s="969"/>
      <c r="N262" s="977">
        <f t="shared" si="17"/>
        <v>0</v>
      </c>
      <c r="O262" s="988"/>
      <c r="P262" s="978" t="str">
        <f t="shared" si="16"/>
        <v/>
      </c>
      <c r="Q262" s="979"/>
      <c r="R262" s="989"/>
      <c r="S262" s="978" t="str">
        <f t="shared" si="18"/>
        <v/>
      </c>
      <c r="T262" s="980"/>
      <c r="U262" s="990" t="str">
        <f t="shared" si="19"/>
        <v/>
      </c>
    </row>
    <row r="263" spans="1:21">
      <c r="A263" s="969"/>
      <c r="B263" s="969"/>
      <c r="C263" s="969"/>
      <c r="D263" s="968"/>
      <c r="E263" s="969"/>
      <c r="F263" s="971"/>
      <c r="G263" s="984"/>
      <c r="H263" s="985"/>
      <c r="I263" s="986">
        <f t="shared" si="20"/>
        <v>0</v>
      </c>
      <c r="J263" s="975"/>
      <c r="K263" s="969"/>
      <c r="L263" s="976"/>
      <c r="M263" s="969"/>
      <c r="N263" s="977">
        <f t="shared" si="17"/>
        <v>0</v>
      </c>
      <c r="O263" s="988"/>
      <c r="P263" s="978" t="str">
        <f t="shared" ref="P263:P306" si="21">IFERROR(N263/O263,"")</f>
        <v/>
      </c>
      <c r="Q263" s="979"/>
      <c r="R263" s="989"/>
      <c r="S263" s="978" t="str">
        <f t="shared" si="18"/>
        <v/>
      </c>
      <c r="T263" s="980"/>
      <c r="U263" s="990" t="str">
        <f t="shared" si="19"/>
        <v/>
      </c>
    </row>
    <row r="264" spans="1:21">
      <c r="A264" s="969"/>
      <c r="B264" s="969"/>
      <c r="C264" s="969"/>
      <c r="D264" s="968"/>
      <c r="E264" s="969"/>
      <c r="F264" s="971"/>
      <c r="G264" s="984"/>
      <c r="H264" s="985"/>
      <c r="I264" s="986">
        <f t="shared" si="20"/>
        <v>0</v>
      </c>
      <c r="J264" s="975"/>
      <c r="K264" s="969"/>
      <c r="L264" s="976"/>
      <c r="M264" s="969"/>
      <c r="N264" s="977">
        <f t="shared" ref="N264:N306" si="22">SUM(L264:M264)</f>
        <v>0</v>
      </c>
      <c r="O264" s="988"/>
      <c r="P264" s="978" t="str">
        <f t="shared" si="21"/>
        <v/>
      </c>
      <c r="Q264" s="979"/>
      <c r="R264" s="989"/>
      <c r="S264" s="978" t="str">
        <f t="shared" ref="S264:S306" si="23">IFERROR(Q264/R264,"")</f>
        <v/>
      </c>
      <c r="T264" s="980"/>
      <c r="U264" s="990" t="str">
        <f t="shared" ref="U264:U306" si="24">IFERROR(I264*J264*K264/N264*IF($U$6="Variante 1",P264,IF($U$6="Variante 2",S264,T264)),"")</f>
        <v/>
      </c>
    </row>
    <row r="265" spans="1:21">
      <c r="A265" s="969"/>
      <c r="B265" s="969"/>
      <c r="C265" s="969"/>
      <c r="D265" s="968"/>
      <c r="E265" s="969"/>
      <c r="F265" s="971"/>
      <c r="G265" s="984"/>
      <c r="H265" s="985"/>
      <c r="I265" s="986">
        <f t="shared" si="20"/>
        <v>0</v>
      </c>
      <c r="J265" s="975"/>
      <c r="K265" s="969"/>
      <c r="L265" s="976"/>
      <c r="M265" s="969"/>
      <c r="N265" s="977">
        <f t="shared" si="22"/>
        <v>0</v>
      </c>
      <c r="O265" s="988"/>
      <c r="P265" s="978" t="str">
        <f t="shared" si="21"/>
        <v/>
      </c>
      <c r="Q265" s="979"/>
      <c r="R265" s="989"/>
      <c r="S265" s="978" t="str">
        <f t="shared" si="23"/>
        <v/>
      </c>
      <c r="T265" s="980"/>
      <c r="U265" s="990" t="str">
        <f t="shared" si="24"/>
        <v/>
      </c>
    </row>
    <row r="266" spans="1:21">
      <c r="A266" s="969"/>
      <c r="B266" s="969"/>
      <c r="C266" s="969"/>
      <c r="D266" s="968"/>
      <c r="E266" s="969"/>
      <c r="F266" s="971"/>
      <c r="G266" s="984"/>
      <c r="H266" s="985"/>
      <c r="I266" s="986">
        <f t="shared" si="20"/>
        <v>0</v>
      </c>
      <c r="J266" s="975"/>
      <c r="K266" s="969"/>
      <c r="L266" s="976"/>
      <c r="M266" s="969"/>
      <c r="N266" s="977">
        <f t="shared" si="22"/>
        <v>0</v>
      </c>
      <c r="O266" s="988"/>
      <c r="P266" s="978" t="str">
        <f t="shared" si="21"/>
        <v/>
      </c>
      <c r="Q266" s="979"/>
      <c r="R266" s="989"/>
      <c r="S266" s="978" t="str">
        <f t="shared" si="23"/>
        <v/>
      </c>
      <c r="T266" s="980"/>
      <c r="U266" s="990" t="str">
        <f t="shared" si="24"/>
        <v/>
      </c>
    </row>
    <row r="267" spans="1:21">
      <c r="A267" s="969"/>
      <c r="B267" s="969"/>
      <c r="C267" s="969"/>
      <c r="D267" s="968"/>
      <c r="E267" s="969"/>
      <c r="F267" s="971"/>
      <c r="G267" s="984"/>
      <c r="H267" s="985"/>
      <c r="I267" s="986">
        <f t="shared" si="20"/>
        <v>0</v>
      </c>
      <c r="J267" s="975"/>
      <c r="K267" s="969"/>
      <c r="L267" s="976"/>
      <c r="M267" s="969"/>
      <c r="N267" s="977">
        <f t="shared" si="22"/>
        <v>0</v>
      </c>
      <c r="O267" s="988"/>
      <c r="P267" s="978" t="str">
        <f t="shared" si="21"/>
        <v/>
      </c>
      <c r="Q267" s="979"/>
      <c r="R267" s="989"/>
      <c r="S267" s="978" t="str">
        <f t="shared" si="23"/>
        <v/>
      </c>
      <c r="T267" s="980"/>
      <c r="U267" s="990" t="str">
        <f t="shared" si="24"/>
        <v/>
      </c>
    </row>
    <row r="268" spans="1:21">
      <c r="A268" s="969"/>
      <c r="B268" s="969"/>
      <c r="C268" s="969"/>
      <c r="D268" s="968"/>
      <c r="E268" s="969"/>
      <c r="F268" s="971"/>
      <c r="G268" s="984"/>
      <c r="H268" s="985"/>
      <c r="I268" s="986">
        <f t="shared" si="20"/>
        <v>0</v>
      </c>
      <c r="J268" s="975"/>
      <c r="K268" s="969"/>
      <c r="L268" s="976"/>
      <c r="M268" s="969"/>
      <c r="N268" s="977">
        <f t="shared" si="22"/>
        <v>0</v>
      </c>
      <c r="O268" s="988"/>
      <c r="P268" s="978" t="str">
        <f t="shared" si="21"/>
        <v/>
      </c>
      <c r="Q268" s="979"/>
      <c r="R268" s="989"/>
      <c r="S268" s="978" t="str">
        <f t="shared" si="23"/>
        <v/>
      </c>
      <c r="T268" s="980"/>
      <c r="U268" s="990" t="str">
        <f t="shared" si="24"/>
        <v/>
      </c>
    </row>
    <row r="269" spans="1:21">
      <c r="A269" s="969"/>
      <c r="B269" s="969"/>
      <c r="C269" s="969"/>
      <c r="D269" s="968"/>
      <c r="E269" s="969"/>
      <c r="F269" s="971"/>
      <c r="G269" s="984"/>
      <c r="H269" s="985"/>
      <c r="I269" s="986">
        <f t="shared" si="20"/>
        <v>0</v>
      </c>
      <c r="J269" s="975"/>
      <c r="K269" s="969"/>
      <c r="L269" s="976"/>
      <c r="M269" s="969"/>
      <c r="N269" s="977">
        <f t="shared" si="22"/>
        <v>0</v>
      </c>
      <c r="O269" s="988"/>
      <c r="P269" s="978" t="str">
        <f t="shared" si="21"/>
        <v/>
      </c>
      <c r="Q269" s="979"/>
      <c r="R269" s="989"/>
      <c r="S269" s="978" t="str">
        <f t="shared" si="23"/>
        <v/>
      </c>
      <c r="T269" s="980"/>
      <c r="U269" s="990" t="str">
        <f t="shared" si="24"/>
        <v/>
      </c>
    </row>
    <row r="270" spans="1:21">
      <c r="A270" s="969"/>
      <c r="B270" s="969"/>
      <c r="C270" s="969"/>
      <c r="D270" s="968"/>
      <c r="E270" s="969"/>
      <c r="F270" s="971"/>
      <c r="G270" s="984"/>
      <c r="H270" s="985"/>
      <c r="I270" s="986">
        <f t="shared" si="20"/>
        <v>0</v>
      </c>
      <c r="J270" s="975"/>
      <c r="K270" s="969"/>
      <c r="L270" s="976"/>
      <c r="M270" s="969"/>
      <c r="N270" s="977">
        <f t="shared" si="22"/>
        <v>0</v>
      </c>
      <c r="O270" s="988"/>
      <c r="P270" s="978" t="str">
        <f t="shared" si="21"/>
        <v/>
      </c>
      <c r="Q270" s="979"/>
      <c r="R270" s="989"/>
      <c r="S270" s="978" t="str">
        <f t="shared" si="23"/>
        <v/>
      </c>
      <c r="T270" s="980"/>
      <c r="U270" s="990" t="str">
        <f t="shared" si="24"/>
        <v/>
      </c>
    </row>
    <row r="271" spans="1:21">
      <c r="A271" s="969"/>
      <c r="B271" s="969"/>
      <c r="C271" s="969"/>
      <c r="D271" s="968"/>
      <c r="E271" s="969"/>
      <c r="F271" s="971"/>
      <c r="G271" s="984"/>
      <c r="H271" s="985"/>
      <c r="I271" s="986">
        <f t="shared" si="20"/>
        <v>0</v>
      </c>
      <c r="J271" s="975"/>
      <c r="K271" s="969"/>
      <c r="L271" s="976"/>
      <c r="M271" s="969"/>
      <c r="N271" s="977">
        <f t="shared" si="22"/>
        <v>0</v>
      </c>
      <c r="O271" s="988"/>
      <c r="P271" s="978" t="str">
        <f t="shared" si="21"/>
        <v/>
      </c>
      <c r="Q271" s="979"/>
      <c r="R271" s="989"/>
      <c r="S271" s="978" t="str">
        <f t="shared" si="23"/>
        <v/>
      </c>
      <c r="T271" s="980"/>
      <c r="U271" s="990" t="str">
        <f t="shared" si="24"/>
        <v/>
      </c>
    </row>
    <row r="272" spans="1:21">
      <c r="A272" s="969"/>
      <c r="B272" s="969"/>
      <c r="C272" s="969"/>
      <c r="D272" s="968"/>
      <c r="E272" s="969"/>
      <c r="F272" s="971"/>
      <c r="G272" s="984"/>
      <c r="H272" s="985"/>
      <c r="I272" s="986">
        <f t="shared" si="20"/>
        <v>0</v>
      </c>
      <c r="J272" s="975"/>
      <c r="K272" s="969"/>
      <c r="L272" s="976"/>
      <c r="M272" s="969"/>
      <c r="N272" s="977">
        <f t="shared" si="22"/>
        <v>0</v>
      </c>
      <c r="O272" s="988"/>
      <c r="P272" s="978" t="str">
        <f t="shared" si="21"/>
        <v/>
      </c>
      <c r="Q272" s="979"/>
      <c r="R272" s="989"/>
      <c r="S272" s="978" t="str">
        <f t="shared" si="23"/>
        <v/>
      </c>
      <c r="T272" s="980"/>
      <c r="U272" s="990" t="str">
        <f t="shared" si="24"/>
        <v/>
      </c>
    </row>
    <row r="273" spans="1:21">
      <c r="A273" s="969"/>
      <c r="B273" s="969"/>
      <c r="C273" s="969"/>
      <c r="D273" s="968"/>
      <c r="E273" s="969"/>
      <c r="F273" s="971"/>
      <c r="G273" s="984"/>
      <c r="H273" s="985"/>
      <c r="I273" s="986">
        <f t="shared" si="20"/>
        <v>0</v>
      </c>
      <c r="J273" s="975"/>
      <c r="K273" s="969"/>
      <c r="L273" s="976"/>
      <c r="M273" s="969"/>
      <c r="N273" s="977">
        <f t="shared" si="22"/>
        <v>0</v>
      </c>
      <c r="O273" s="988"/>
      <c r="P273" s="978" t="str">
        <f t="shared" si="21"/>
        <v/>
      </c>
      <c r="Q273" s="979"/>
      <c r="R273" s="989"/>
      <c r="S273" s="978" t="str">
        <f t="shared" si="23"/>
        <v/>
      </c>
      <c r="T273" s="980"/>
      <c r="U273" s="990" t="str">
        <f t="shared" si="24"/>
        <v/>
      </c>
    </row>
    <row r="274" spans="1:21">
      <c r="A274" s="969"/>
      <c r="B274" s="969"/>
      <c r="C274" s="969"/>
      <c r="D274" s="968"/>
      <c r="E274" s="969"/>
      <c r="F274" s="971"/>
      <c r="G274" s="984"/>
      <c r="H274" s="985"/>
      <c r="I274" s="986">
        <f t="shared" si="20"/>
        <v>0</v>
      </c>
      <c r="J274" s="975"/>
      <c r="K274" s="969"/>
      <c r="L274" s="976"/>
      <c r="M274" s="969"/>
      <c r="N274" s="977">
        <f t="shared" si="22"/>
        <v>0</v>
      </c>
      <c r="O274" s="988"/>
      <c r="P274" s="978" t="str">
        <f t="shared" si="21"/>
        <v/>
      </c>
      <c r="Q274" s="979"/>
      <c r="R274" s="989"/>
      <c r="S274" s="978" t="str">
        <f t="shared" si="23"/>
        <v/>
      </c>
      <c r="T274" s="980"/>
      <c r="U274" s="990" t="str">
        <f t="shared" si="24"/>
        <v/>
      </c>
    </row>
    <row r="275" spans="1:21">
      <c r="A275" s="969"/>
      <c r="B275" s="969"/>
      <c r="C275" s="969"/>
      <c r="D275" s="968"/>
      <c r="E275" s="969"/>
      <c r="F275" s="971"/>
      <c r="G275" s="984"/>
      <c r="H275" s="985"/>
      <c r="I275" s="986">
        <f t="shared" si="20"/>
        <v>0</v>
      </c>
      <c r="J275" s="975"/>
      <c r="K275" s="969"/>
      <c r="L275" s="976"/>
      <c r="M275" s="969"/>
      <c r="N275" s="977">
        <f t="shared" si="22"/>
        <v>0</v>
      </c>
      <c r="O275" s="988"/>
      <c r="P275" s="978" t="str">
        <f t="shared" si="21"/>
        <v/>
      </c>
      <c r="Q275" s="979"/>
      <c r="R275" s="989"/>
      <c r="S275" s="978" t="str">
        <f t="shared" si="23"/>
        <v/>
      </c>
      <c r="T275" s="980"/>
      <c r="U275" s="990" t="str">
        <f t="shared" si="24"/>
        <v/>
      </c>
    </row>
    <row r="276" spans="1:21">
      <c r="A276" s="969"/>
      <c r="B276" s="969"/>
      <c r="C276" s="969"/>
      <c r="D276" s="968"/>
      <c r="E276" s="969"/>
      <c r="F276" s="971"/>
      <c r="G276" s="984"/>
      <c r="H276" s="985"/>
      <c r="I276" s="986">
        <f t="shared" si="20"/>
        <v>0</v>
      </c>
      <c r="J276" s="975"/>
      <c r="K276" s="969"/>
      <c r="L276" s="976"/>
      <c r="M276" s="969"/>
      <c r="N276" s="977">
        <f t="shared" si="22"/>
        <v>0</v>
      </c>
      <c r="O276" s="988"/>
      <c r="P276" s="978" t="str">
        <f t="shared" si="21"/>
        <v/>
      </c>
      <c r="Q276" s="979"/>
      <c r="R276" s="989"/>
      <c r="S276" s="978" t="str">
        <f t="shared" si="23"/>
        <v/>
      </c>
      <c r="T276" s="980"/>
      <c r="U276" s="990" t="str">
        <f t="shared" si="24"/>
        <v/>
      </c>
    </row>
    <row r="277" spans="1:21">
      <c r="A277" s="969"/>
      <c r="B277" s="969"/>
      <c r="C277" s="969"/>
      <c r="D277" s="968"/>
      <c r="E277" s="969"/>
      <c r="F277" s="971"/>
      <c r="G277" s="984"/>
      <c r="H277" s="985"/>
      <c r="I277" s="986">
        <f t="shared" si="20"/>
        <v>0</v>
      </c>
      <c r="J277" s="975"/>
      <c r="K277" s="969"/>
      <c r="L277" s="976"/>
      <c r="M277" s="969"/>
      <c r="N277" s="977">
        <f t="shared" si="22"/>
        <v>0</v>
      </c>
      <c r="O277" s="988"/>
      <c r="P277" s="978" t="str">
        <f t="shared" si="21"/>
        <v/>
      </c>
      <c r="Q277" s="979"/>
      <c r="R277" s="989"/>
      <c r="S277" s="978" t="str">
        <f t="shared" si="23"/>
        <v/>
      </c>
      <c r="T277" s="980"/>
      <c r="U277" s="990" t="str">
        <f t="shared" si="24"/>
        <v/>
      </c>
    </row>
    <row r="278" spans="1:21">
      <c r="A278" s="969"/>
      <c r="B278" s="969"/>
      <c r="C278" s="969"/>
      <c r="D278" s="968"/>
      <c r="E278" s="969"/>
      <c r="F278" s="971"/>
      <c r="G278" s="984"/>
      <c r="H278" s="985"/>
      <c r="I278" s="986">
        <f t="shared" si="20"/>
        <v>0</v>
      </c>
      <c r="J278" s="975"/>
      <c r="K278" s="969"/>
      <c r="L278" s="976"/>
      <c r="M278" s="969"/>
      <c r="N278" s="977">
        <f t="shared" si="22"/>
        <v>0</v>
      </c>
      <c r="O278" s="988"/>
      <c r="P278" s="978" t="str">
        <f t="shared" si="21"/>
        <v/>
      </c>
      <c r="Q278" s="979"/>
      <c r="R278" s="989"/>
      <c r="S278" s="978" t="str">
        <f t="shared" si="23"/>
        <v/>
      </c>
      <c r="T278" s="980"/>
      <c r="U278" s="990" t="str">
        <f t="shared" si="24"/>
        <v/>
      </c>
    </row>
    <row r="279" spans="1:21">
      <c r="A279" s="969"/>
      <c r="B279" s="969"/>
      <c r="C279" s="969"/>
      <c r="D279" s="968"/>
      <c r="E279" s="969"/>
      <c r="F279" s="971"/>
      <c r="G279" s="984"/>
      <c r="H279" s="985"/>
      <c r="I279" s="986">
        <f t="shared" si="20"/>
        <v>0</v>
      </c>
      <c r="J279" s="975"/>
      <c r="K279" s="969"/>
      <c r="L279" s="976"/>
      <c r="M279" s="969"/>
      <c r="N279" s="977">
        <f t="shared" si="22"/>
        <v>0</v>
      </c>
      <c r="O279" s="988"/>
      <c r="P279" s="978" t="str">
        <f t="shared" si="21"/>
        <v/>
      </c>
      <c r="Q279" s="979"/>
      <c r="R279" s="989"/>
      <c r="S279" s="978" t="str">
        <f t="shared" si="23"/>
        <v/>
      </c>
      <c r="T279" s="980"/>
      <c r="U279" s="990" t="str">
        <f t="shared" si="24"/>
        <v/>
      </c>
    </row>
    <row r="280" spans="1:21">
      <c r="A280" s="969"/>
      <c r="B280" s="969"/>
      <c r="C280" s="969"/>
      <c r="D280" s="968"/>
      <c r="E280" s="969"/>
      <c r="F280" s="971"/>
      <c r="G280" s="984"/>
      <c r="H280" s="985"/>
      <c r="I280" s="986">
        <f t="shared" ref="I280:I306" si="25">SUM(G280:H280)</f>
        <v>0</v>
      </c>
      <c r="J280" s="975"/>
      <c r="K280" s="969"/>
      <c r="L280" s="976"/>
      <c r="M280" s="969"/>
      <c r="N280" s="977">
        <f t="shared" si="22"/>
        <v>0</v>
      </c>
      <c r="O280" s="988"/>
      <c r="P280" s="978" t="str">
        <f t="shared" si="21"/>
        <v/>
      </c>
      <c r="Q280" s="979"/>
      <c r="R280" s="989"/>
      <c r="S280" s="978" t="str">
        <f t="shared" si="23"/>
        <v/>
      </c>
      <c r="T280" s="980"/>
      <c r="U280" s="990" t="str">
        <f t="shared" si="24"/>
        <v/>
      </c>
    </row>
    <row r="281" spans="1:21">
      <c r="A281" s="969"/>
      <c r="B281" s="969"/>
      <c r="C281" s="969"/>
      <c r="D281" s="968"/>
      <c r="E281" s="969"/>
      <c r="F281" s="971"/>
      <c r="G281" s="984"/>
      <c r="H281" s="985"/>
      <c r="I281" s="986">
        <f t="shared" si="25"/>
        <v>0</v>
      </c>
      <c r="J281" s="975"/>
      <c r="K281" s="969"/>
      <c r="L281" s="976"/>
      <c r="M281" s="969"/>
      <c r="N281" s="977">
        <f t="shared" si="22"/>
        <v>0</v>
      </c>
      <c r="O281" s="988"/>
      <c r="P281" s="978" t="str">
        <f t="shared" si="21"/>
        <v/>
      </c>
      <c r="Q281" s="979"/>
      <c r="R281" s="989"/>
      <c r="S281" s="978" t="str">
        <f t="shared" si="23"/>
        <v/>
      </c>
      <c r="T281" s="980"/>
      <c r="U281" s="990" t="str">
        <f t="shared" si="24"/>
        <v/>
      </c>
    </row>
    <row r="282" spans="1:21">
      <c r="A282" s="969"/>
      <c r="B282" s="969"/>
      <c r="C282" s="969"/>
      <c r="D282" s="968"/>
      <c r="E282" s="969"/>
      <c r="F282" s="971"/>
      <c r="G282" s="984"/>
      <c r="H282" s="985"/>
      <c r="I282" s="986">
        <f t="shared" si="25"/>
        <v>0</v>
      </c>
      <c r="J282" s="975"/>
      <c r="K282" s="969"/>
      <c r="L282" s="976"/>
      <c r="M282" s="969"/>
      <c r="N282" s="977">
        <f t="shared" si="22"/>
        <v>0</v>
      </c>
      <c r="O282" s="988"/>
      <c r="P282" s="978" t="str">
        <f t="shared" si="21"/>
        <v/>
      </c>
      <c r="Q282" s="979"/>
      <c r="R282" s="989"/>
      <c r="S282" s="978" t="str">
        <f t="shared" si="23"/>
        <v/>
      </c>
      <c r="T282" s="980"/>
      <c r="U282" s="990" t="str">
        <f t="shared" si="24"/>
        <v/>
      </c>
    </row>
    <row r="283" spans="1:21">
      <c r="A283" s="969"/>
      <c r="B283" s="969"/>
      <c r="C283" s="969"/>
      <c r="D283" s="968"/>
      <c r="E283" s="969"/>
      <c r="F283" s="971"/>
      <c r="G283" s="984"/>
      <c r="H283" s="985"/>
      <c r="I283" s="986">
        <f t="shared" si="25"/>
        <v>0</v>
      </c>
      <c r="J283" s="975"/>
      <c r="K283" s="969"/>
      <c r="L283" s="976"/>
      <c r="M283" s="969"/>
      <c r="N283" s="977">
        <f t="shared" si="22"/>
        <v>0</v>
      </c>
      <c r="O283" s="988"/>
      <c r="P283" s="978" t="str">
        <f t="shared" si="21"/>
        <v/>
      </c>
      <c r="Q283" s="979"/>
      <c r="R283" s="989"/>
      <c r="S283" s="978" t="str">
        <f t="shared" si="23"/>
        <v/>
      </c>
      <c r="T283" s="980"/>
      <c r="U283" s="990" t="str">
        <f t="shared" si="24"/>
        <v/>
      </c>
    </row>
    <row r="284" spans="1:21">
      <c r="A284" s="969"/>
      <c r="B284" s="969"/>
      <c r="C284" s="969"/>
      <c r="D284" s="968"/>
      <c r="E284" s="969"/>
      <c r="F284" s="971"/>
      <c r="G284" s="984"/>
      <c r="H284" s="985"/>
      <c r="I284" s="986">
        <f t="shared" si="25"/>
        <v>0</v>
      </c>
      <c r="J284" s="975"/>
      <c r="K284" s="969"/>
      <c r="L284" s="976"/>
      <c r="M284" s="969"/>
      <c r="N284" s="977">
        <f t="shared" si="22"/>
        <v>0</v>
      </c>
      <c r="O284" s="988"/>
      <c r="P284" s="978" t="str">
        <f t="shared" si="21"/>
        <v/>
      </c>
      <c r="Q284" s="979"/>
      <c r="R284" s="989"/>
      <c r="S284" s="978" t="str">
        <f t="shared" si="23"/>
        <v/>
      </c>
      <c r="T284" s="980"/>
      <c r="U284" s="990" t="str">
        <f t="shared" si="24"/>
        <v/>
      </c>
    </row>
    <row r="285" spans="1:21">
      <c r="A285" s="969"/>
      <c r="B285" s="969"/>
      <c r="C285" s="969"/>
      <c r="D285" s="968"/>
      <c r="E285" s="969"/>
      <c r="F285" s="971"/>
      <c r="G285" s="984"/>
      <c r="H285" s="985"/>
      <c r="I285" s="986">
        <f t="shared" si="25"/>
        <v>0</v>
      </c>
      <c r="J285" s="975"/>
      <c r="K285" s="969"/>
      <c r="L285" s="976"/>
      <c r="M285" s="969"/>
      <c r="N285" s="977">
        <f t="shared" si="22"/>
        <v>0</v>
      </c>
      <c r="O285" s="988"/>
      <c r="P285" s="978" t="str">
        <f t="shared" si="21"/>
        <v/>
      </c>
      <c r="Q285" s="979"/>
      <c r="R285" s="989"/>
      <c r="S285" s="978" t="str">
        <f t="shared" si="23"/>
        <v/>
      </c>
      <c r="T285" s="980"/>
      <c r="U285" s="990" t="str">
        <f t="shared" si="24"/>
        <v/>
      </c>
    </row>
    <row r="286" spans="1:21">
      <c r="A286" s="969"/>
      <c r="B286" s="969"/>
      <c r="C286" s="969"/>
      <c r="D286" s="968"/>
      <c r="E286" s="969"/>
      <c r="F286" s="971"/>
      <c r="G286" s="984"/>
      <c r="H286" s="985"/>
      <c r="I286" s="986">
        <f t="shared" si="25"/>
        <v>0</v>
      </c>
      <c r="J286" s="975"/>
      <c r="K286" s="969"/>
      <c r="L286" s="976"/>
      <c r="M286" s="969"/>
      <c r="N286" s="977">
        <f t="shared" si="22"/>
        <v>0</v>
      </c>
      <c r="O286" s="988"/>
      <c r="P286" s="978" t="str">
        <f t="shared" si="21"/>
        <v/>
      </c>
      <c r="Q286" s="979"/>
      <c r="R286" s="989"/>
      <c r="S286" s="978" t="str">
        <f t="shared" si="23"/>
        <v/>
      </c>
      <c r="T286" s="980"/>
      <c r="U286" s="990" t="str">
        <f t="shared" si="24"/>
        <v/>
      </c>
    </row>
    <row r="287" spans="1:21">
      <c r="A287" s="969"/>
      <c r="B287" s="969"/>
      <c r="C287" s="969"/>
      <c r="D287" s="968"/>
      <c r="E287" s="969"/>
      <c r="F287" s="971"/>
      <c r="G287" s="984"/>
      <c r="H287" s="985"/>
      <c r="I287" s="986">
        <f t="shared" si="25"/>
        <v>0</v>
      </c>
      <c r="J287" s="975"/>
      <c r="K287" s="969"/>
      <c r="L287" s="976"/>
      <c r="M287" s="969"/>
      <c r="N287" s="977">
        <f t="shared" si="22"/>
        <v>0</v>
      </c>
      <c r="O287" s="988"/>
      <c r="P287" s="978" t="str">
        <f t="shared" si="21"/>
        <v/>
      </c>
      <c r="Q287" s="979"/>
      <c r="R287" s="989"/>
      <c r="S287" s="978" t="str">
        <f t="shared" si="23"/>
        <v/>
      </c>
      <c r="T287" s="980"/>
      <c r="U287" s="990" t="str">
        <f t="shared" si="24"/>
        <v/>
      </c>
    </row>
    <row r="288" spans="1:21">
      <c r="A288" s="969"/>
      <c r="B288" s="969"/>
      <c r="C288" s="969"/>
      <c r="D288" s="968"/>
      <c r="E288" s="969"/>
      <c r="F288" s="971"/>
      <c r="G288" s="984"/>
      <c r="H288" s="985"/>
      <c r="I288" s="986">
        <f t="shared" si="25"/>
        <v>0</v>
      </c>
      <c r="J288" s="975"/>
      <c r="K288" s="969"/>
      <c r="L288" s="976"/>
      <c r="M288" s="969"/>
      <c r="N288" s="977">
        <f t="shared" si="22"/>
        <v>0</v>
      </c>
      <c r="O288" s="988"/>
      <c r="P288" s="978" t="str">
        <f t="shared" si="21"/>
        <v/>
      </c>
      <c r="Q288" s="979"/>
      <c r="R288" s="989"/>
      <c r="S288" s="978" t="str">
        <f t="shared" si="23"/>
        <v/>
      </c>
      <c r="T288" s="980"/>
      <c r="U288" s="990" t="str">
        <f t="shared" si="24"/>
        <v/>
      </c>
    </row>
    <row r="289" spans="1:21">
      <c r="A289" s="969"/>
      <c r="B289" s="969"/>
      <c r="C289" s="969"/>
      <c r="D289" s="968"/>
      <c r="E289" s="969"/>
      <c r="F289" s="971"/>
      <c r="G289" s="984"/>
      <c r="H289" s="985"/>
      <c r="I289" s="986">
        <f t="shared" si="25"/>
        <v>0</v>
      </c>
      <c r="J289" s="975"/>
      <c r="K289" s="969"/>
      <c r="L289" s="976"/>
      <c r="M289" s="969"/>
      <c r="N289" s="977">
        <f t="shared" si="22"/>
        <v>0</v>
      </c>
      <c r="O289" s="988"/>
      <c r="P289" s="978" t="str">
        <f t="shared" si="21"/>
        <v/>
      </c>
      <c r="Q289" s="979"/>
      <c r="R289" s="989"/>
      <c r="S289" s="978" t="str">
        <f t="shared" si="23"/>
        <v/>
      </c>
      <c r="T289" s="980"/>
      <c r="U289" s="990" t="str">
        <f t="shared" si="24"/>
        <v/>
      </c>
    </row>
    <row r="290" spans="1:21">
      <c r="A290" s="969"/>
      <c r="B290" s="969"/>
      <c r="C290" s="969"/>
      <c r="D290" s="968"/>
      <c r="E290" s="969"/>
      <c r="F290" s="971"/>
      <c r="G290" s="984"/>
      <c r="H290" s="985"/>
      <c r="I290" s="986">
        <f t="shared" si="25"/>
        <v>0</v>
      </c>
      <c r="J290" s="975"/>
      <c r="K290" s="969"/>
      <c r="L290" s="976"/>
      <c r="M290" s="969"/>
      <c r="N290" s="977">
        <f t="shared" si="22"/>
        <v>0</v>
      </c>
      <c r="O290" s="988"/>
      <c r="P290" s="978" t="str">
        <f t="shared" si="21"/>
        <v/>
      </c>
      <c r="Q290" s="979"/>
      <c r="R290" s="989"/>
      <c r="S290" s="978" t="str">
        <f t="shared" si="23"/>
        <v/>
      </c>
      <c r="T290" s="980"/>
      <c r="U290" s="990" t="str">
        <f t="shared" si="24"/>
        <v/>
      </c>
    </row>
    <row r="291" spans="1:21">
      <c r="A291" s="969"/>
      <c r="B291" s="969"/>
      <c r="C291" s="969"/>
      <c r="D291" s="968"/>
      <c r="E291" s="969"/>
      <c r="F291" s="971"/>
      <c r="G291" s="984"/>
      <c r="H291" s="985"/>
      <c r="I291" s="986">
        <f t="shared" si="25"/>
        <v>0</v>
      </c>
      <c r="J291" s="975"/>
      <c r="K291" s="969"/>
      <c r="L291" s="976"/>
      <c r="M291" s="969"/>
      <c r="N291" s="977">
        <f t="shared" si="22"/>
        <v>0</v>
      </c>
      <c r="O291" s="988"/>
      <c r="P291" s="978" t="str">
        <f t="shared" si="21"/>
        <v/>
      </c>
      <c r="Q291" s="979"/>
      <c r="R291" s="989"/>
      <c r="S291" s="978" t="str">
        <f t="shared" si="23"/>
        <v/>
      </c>
      <c r="T291" s="980"/>
      <c r="U291" s="990" t="str">
        <f t="shared" si="24"/>
        <v/>
      </c>
    </row>
    <row r="292" spans="1:21">
      <c r="A292" s="969"/>
      <c r="B292" s="969"/>
      <c r="C292" s="969"/>
      <c r="D292" s="968"/>
      <c r="E292" s="969"/>
      <c r="F292" s="971"/>
      <c r="G292" s="984"/>
      <c r="H292" s="985"/>
      <c r="I292" s="986">
        <f t="shared" si="25"/>
        <v>0</v>
      </c>
      <c r="J292" s="975"/>
      <c r="K292" s="969"/>
      <c r="L292" s="976"/>
      <c r="M292" s="969"/>
      <c r="N292" s="977">
        <f t="shared" si="22"/>
        <v>0</v>
      </c>
      <c r="O292" s="988"/>
      <c r="P292" s="978" t="str">
        <f t="shared" si="21"/>
        <v/>
      </c>
      <c r="Q292" s="979"/>
      <c r="R292" s="989"/>
      <c r="S292" s="978" t="str">
        <f t="shared" si="23"/>
        <v/>
      </c>
      <c r="T292" s="980"/>
      <c r="U292" s="990" t="str">
        <f t="shared" si="24"/>
        <v/>
      </c>
    </row>
    <row r="293" spans="1:21">
      <c r="A293" s="969"/>
      <c r="B293" s="969"/>
      <c r="C293" s="969"/>
      <c r="D293" s="968"/>
      <c r="E293" s="969"/>
      <c r="F293" s="971"/>
      <c r="G293" s="984"/>
      <c r="H293" s="985"/>
      <c r="I293" s="986">
        <f t="shared" si="25"/>
        <v>0</v>
      </c>
      <c r="J293" s="975"/>
      <c r="K293" s="969"/>
      <c r="L293" s="976"/>
      <c r="M293" s="969"/>
      <c r="N293" s="977">
        <f t="shared" si="22"/>
        <v>0</v>
      </c>
      <c r="O293" s="988"/>
      <c r="P293" s="978" t="str">
        <f t="shared" si="21"/>
        <v/>
      </c>
      <c r="Q293" s="979"/>
      <c r="R293" s="989"/>
      <c r="S293" s="978" t="str">
        <f t="shared" si="23"/>
        <v/>
      </c>
      <c r="T293" s="980"/>
      <c r="U293" s="990" t="str">
        <f t="shared" si="24"/>
        <v/>
      </c>
    </row>
    <row r="294" spans="1:21">
      <c r="A294" s="969"/>
      <c r="B294" s="969"/>
      <c r="C294" s="969"/>
      <c r="D294" s="968"/>
      <c r="E294" s="969"/>
      <c r="F294" s="971"/>
      <c r="G294" s="984"/>
      <c r="H294" s="985"/>
      <c r="I294" s="986">
        <f t="shared" si="25"/>
        <v>0</v>
      </c>
      <c r="J294" s="975"/>
      <c r="K294" s="969"/>
      <c r="L294" s="976"/>
      <c r="M294" s="969"/>
      <c r="N294" s="977">
        <f t="shared" si="22"/>
        <v>0</v>
      </c>
      <c r="O294" s="988"/>
      <c r="P294" s="978" t="str">
        <f t="shared" si="21"/>
        <v/>
      </c>
      <c r="Q294" s="979"/>
      <c r="R294" s="989"/>
      <c r="S294" s="978" t="str">
        <f t="shared" si="23"/>
        <v/>
      </c>
      <c r="T294" s="980"/>
      <c r="U294" s="990" t="str">
        <f t="shared" si="24"/>
        <v/>
      </c>
    </row>
    <row r="295" spans="1:21">
      <c r="A295" s="969"/>
      <c r="B295" s="969"/>
      <c r="C295" s="969"/>
      <c r="D295" s="968"/>
      <c r="E295" s="969"/>
      <c r="F295" s="971"/>
      <c r="G295" s="984"/>
      <c r="H295" s="985"/>
      <c r="I295" s="986">
        <f t="shared" si="25"/>
        <v>0</v>
      </c>
      <c r="J295" s="975"/>
      <c r="K295" s="969"/>
      <c r="L295" s="976"/>
      <c r="M295" s="969"/>
      <c r="N295" s="977">
        <f t="shared" si="22"/>
        <v>0</v>
      </c>
      <c r="O295" s="988"/>
      <c r="P295" s="978" t="str">
        <f t="shared" si="21"/>
        <v/>
      </c>
      <c r="Q295" s="979"/>
      <c r="R295" s="989"/>
      <c r="S295" s="978" t="str">
        <f t="shared" si="23"/>
        <v/>
      </c>
      <c r="T295" s="980"/>
      <c r="U295" s="990" t="str">
        <f t="shared" si="24"/>
        <v/>
      </c>
    </row>
    <row r="296" spans="1:21">
      <c r="A296" s="969"/>
      <c r="B296" s="969"/>
      <c r="C296" s="969"/>
      <c r="D296" s="968"/>
      <c r="E296" s="969"/>
      <c r="F296" s="971"/>
      <c r="G296" s="984"/>
      <c r="H296" s="985"/>
      <c r="I296" s="986">
        <f t="shared" si="25"/>
        <v>0</v>
      </c>
      <c r="J296" s="975"/>
      <c r="K296" s="969"/>
      <c r="L296" s="976"/>
      <c r="M296" s="969"/>
      <c r="N296" s="977">
        <f t="shared" si="22"/>
        <v>0</v>
      </c>
      <c r="O296" s="988"/>
      <c r="P296" s="978" t="str">
        <f t="shared" si="21"/>
        <v/>
      </c>
      <c r="Q296" s="979"/>
      <c r="R296" s="989"/>
      <c r="S296" s="978" t="str">
        <f t="shared" si="23"/>
        <v/>
      </c>
      <c r="T296" s="980"/>
      <c r="U296" s="990" t="str">
        <f t="shared" si="24"/>
        <v/>
      </c>
    </row>
    <row r="297" spans="1:21">
      <c r="A297" s="969"/>
      <c r="B297" s="969"/>
      <c r="C297" s="969"/>
      <c r="D297" s="968"/>
      <c r="E297" s="969"/>
      <c r="F297" s="971"/>
      <c r="G297" s="984"/>
      <c r="H297" s="985"/>
      <c r="I297" s="986">
        <f t="shared" si="25"/>
        <v>0</v>
      </c>
      <c r="J297" s="975"/>
      <c r="K297" s="969"/>
      <c r="L297" s="976"/>
      <c r="M297" s="969"/>
      <c r="N297" s="977">
        <f t="shared" si="22"/>
        <v>0</v>
      </c>
      <c r="O297" s="988"/>
      <c r="P297" s="978" t="str">
        <f t="shared" si="21"/>
        <v/>
      </c>
      <c r="Q297" s="979"/>
      <c r="R297" s="989"/>
      <c r="S297" s="978" t="str">
        <f t="shared" si="23"/>
        <v/>
      </c>
      <c r="T297" s="980"/>
      <c r="U297" s="990" t="str">
        <f t="shared" si="24"/>
        <v/>
      </c>
    </row>
    <row r="298" spans="1:21">
      <c r="A298" s="969"/>
      <c r="B298" s="969"/>
      <c r="C298" s="969"/>
      <c r="D298" s="968"/>
      <c r="E298" s="969"/>
      <c r="F298" s="971"/>
      <c r="G298" s="984"/>
      <c r="H298" s="985"/>
      <c r="I298" s="986">
        <f t="shared" si="25"/>
        <v>0</v>
      </c>
      <c r="J298" s="975"/>
      <c r="K298" s="969"/>
      <c r="L298" s="976"/>
      <c r="M298" s="969"/>
      <c r="N298" s="977">
        <f t="shared" si="22"/>
        <v>0</v>
      </c>
      <c r="O298" s="988"/>
      <c r="P298" s="978" t="str">
        <f t="shared" si="21"/>
        <v/>
      </c>
      <c r="Q298" s="979"/>
      <c r="R298" s="989"/>
      <c r="S298" s="978" t="str">
        <f t="shared" si="23"/>
        <v/>
      </c>
      <c r="T298" s="980"/>
      <c r="U298" s="990" t="str">
        <f t="shared" si="24"/>
        <v/>
      </c>
    </row>
    <row r="299" spans="1:21">
      <c r="A299" s="969"/>
      <c r="B299" s="969"/>
      <c r="C299" s="969"/>
      <c r="D299" s="968"/>
      <c r="E299" s="969"/>
      <c r="F299" s="971"/>
      <c r="G299" s="984"/>
      <c r="H299" s="985"/>
      <c r="I299" s="986">
        <f t="shared" si="25"/>
        <v>0</v>
      </c>
      <c r="J299" s="975"/>
      <c r="K299" s="969"/>
      <c r="L299" s="976"/>
      <c r="M299" s="969"/>
      <c r="N299" s="977">
        <f t="shared" si="22"/>
        <v>0</v>
      </c>
      <c r="O299" s="988"/>
      <c r="P299" s="978" t="str">
        <f t="shared" si="21"/>
        <v/>
      </c>
      <c r="Q299" s="979"/>
      <c r="R299" s="989"/>
      <c r="S299" s="978" t="str">
        <f t="shared" si="23"/>
        <v/>
      </c>
      <c r="T299" s="980"/>
      <c r="U299" s="990" t="str">
        <f t="shared" si="24"/>
        <v/>
      </c>
    </row>
    <row r="300" spans="1:21">
      <c r="A300" s="969"/>
      <c r="B300" s="969"/>
      <c r="C300" s="969"/>
      <c r="D300" s="968"/>
      <c r="E300" s="969"/>
      <c r="F300" s="971"/>
      <c r="G300" s="984"/>
      <c r="H300" s="985"/>
      <c r="I300" s="986">
        <f t="shared" si="25"/>
        <v>0</v>
      </c>
      <c r="J300" s="975"/>
      <c r="K300" s="969"/>
      <c r="L300" s="976"/>
      <c r="M300" s="969"/>
      <c r="N300" s="977">
        <f t="shared" si="22"/>
        <v>0</v>
      </c>
      <c r="O300" s="988"/>
      <c r="P300" s="978" t="str">
        <f t="shared" si="21"/>
        <v/>
      </c>
      <c r="Q300" s="979"/>
      <c r="R300" s="989"/>
      <c r="S300" s="978" t="str">
        <f t="shared" si="23"/>
        <v/>
      </c>
      <c r="T300" s="980"/>
      <c r="U300" s="990" t="str">
        <f t="shared" si="24"/>
        <v/>
      </c>
    </row>
    <row r="301" spans="1:21">
      <c r="A301" s="969"/>
      <c r="B301" s="969"/>
      <c r="C301" s="969"/>
      <c r="D301" s="968"/>
      <c r="E301" s="969"/>
      <c r="F301" s="971"/>
      <c r="G301" s="984"/>
      <c r="H301" s="985"/>
      <c r="I301" s="986">
        <f t="shared" si="25"/>
        <v>0</v>
      </c>
      <c r="J301" s="975"/>
      <c r="K301" s="969"/>
      <c r="L301" s="976"/>
      <c r="M301" s="969"/>
      <c r="N301" s="977">
        <f t="shared" si="22"/>
        <v>0</v>
      </c>
      <c r="O301" s="988"/>
      <c r="P301" s="978" t="str">
        <f t="shared" si="21"/>
        <v/>
      </c>
      <c r="Q301" s="979"/>
      <c r="R301" s="989"/>
      <c r="S301" s="978" t="str">
        <f t="shared" si="23"/>
        <v/>
      </c>
      <c r="T301" s="980"/>
      <c r="U301" s="990" t="str">
        <f t="shared" si="24"/>
        <v/>
      </c>
    </row>
    <row r="302" spans="1:21">
      <c r="A302" s="969"/>
      <c r="B302" s="969"/>
      <c r="C302" s="969"/>
      <c r="D302" s="968"/>
      <c r="E302" s="969"/>
      <c r="F302" s="971"/>
      <c r="G302" s="984"/>
      <c r="H302" s="985"/>
      <c r="I302" s="986">
        <f t="shared" si="25"/>
        <v>0</v>
      </c>
      <c r="J302" s="975"/>
      <c r="K302" s="969"/>
      <c r="L302" s="976"/>
      <c r="M302" s="969"/>
      <c r="N302" s="977">
        <f t="shared" si="22"/>
        <v>0</v>
      </c>
      <c r="O302" s="988"/>
      <c r="P302" s="978" t="str">
        <f t="shared" si="21"/>
        <v/>
      </c>
      <c r="Q302" s="979"/>
      <c r="R302" s="989"/>
      <c r="S302" s="978" t="str">
        <f t="shared" si="23"/>
        <v/>
      </c>
      <c r="T302" s="980"/>
      <c r="U302" s="990" t="str">
        <f t="shared" si="24"/>
        <v/>
      </c>
    </row>
    <row r="303" spans="1:21">
      <c r="A303" s="969"/>
      <c r="B303" s="969"/>
      <c r="C303" s="969"/>
      <c r="D303" s="968"/>
      <c r="E303" s="969"/>
      <c r="F303" s="971"/>
      <c r="G303" s="984"/>
      <c r="H303" s="985"/>
      <c r="I303" s="986">
        <f t="shared" si="25"/>
        <v>0</v>
      </c>
      <c r="J303" s="975"/>
      <c r="K303" s="969"/>
      <c r="L303" s="976"/>
      <c r="M303" s="969"/>
      <c r="N303" s="977">
        <f t="shared" si="22"/>
        <v>0</v>
      </c>
      <c r="O303" s="988"/>
      <c r="P303" s="978" t="str">
        <f t="shared" si="21"/>
        <v/>
      </c>
      <c r="Q303" s="979"/>
      <c r="R303" s="989"/>
      <c r="S303" s="978" t="str">
        <f t="shared" si="23"/>
        <v/>
      </c>
      <c r="T303" s="980"/>
      <c r="U303" s="990" t="str">
        <f t="shared" si="24"/>
        <v/>
      </c>
    </row>
    <row r="304" spans="1:21">
      <c r="A304" s="969"/>
      <c r="B304" s="969"/>
      <c r="C304" s="969"/>
      <c r="D304" s="968"/>
      <c r="E304" s="969"/>
      <c r="F304" s="971"/>
      <c r="G304" s="984"/>
      <c r="H304" s="985"/>
      <c r="I304" s="986">
        <f t="shared" si="25"/>
        <v>0</v>
      </c>
      <c r="J304" s="975"/>
      <c r="K304" s="969"/>
      <c r="L304" s="976"/>
      <c r="M304" s="969"/>
      <c r="N304" s="977">
        <f t="shared" si="22"/>
        <v>0</v>
      </c>
      <c r="O304" s="988"/>
      <c r="P304" s="978" t="str">
        <f t="shared" si="21"/>
        <v/>
      </c>
      <c r="Q304" s="979"/>
      <c r="R304" s="989"/>
      <c r="S304" s="978" t="str">
        <f t="shared" si="23"/>
        <v/>
      </c>
      <c r="T304" s="980"/>
      <c r="U304" s="990" t="str">
        <f t="shared" si="24"/>
        <v/>
      </c>
    </row>
    <row r="305" spans="1:21">
      <c r="A305" s="969"/>
      <c r="B305" s="969"/>
      <c r="C305" s="969"/>
      <c r="D305" s="968"/>
      <c r="E305" s="969"/>
      <c r="F305" s="971"/>
      <c r="G305" s="984"/>
      <c r="H305" s="985"/>
      <c r="I305" s="986">
        <f t="shared" si="25"/>
        <v>0</v>
      </c>
      <c r="J305" s="975"/>
      <c r="K305" s="969"/>
      <c r="L305" s="976"/>
      <c r="M305" s="969"/>
      <c r="N305" s="977">
        <f t="shared" si="22"/>
        <v>0</v>
      </c>
      <c r="O305" s="988"/>
      <c r="P305" s="978" t="str">
        <f t="shared" si="21"/>
        <v/>
      </c>
      <c r="Q305" s="979"/>
      <c r="R305" s="989"/>
      <c r="S305" s="978" t="str">
        <f t="shared" si="23"/>
        <v/>
      </c>
      <c r="T305" s="980"/>
      <c r="U305" s="990" t="str">
        <f t="shared" si="24"/>
        <v/>
      </c>
    </row>
    <row r="306" spans="1:21">
      <c r="A306" s="969"/>
      <c r="B306" s="969"/>
      <c r="C306" s="969"/>
      <c r="D306" s="968"/>
      <c r="E306" s="969"/>
      <c r="F306" s="971"/>
      <c r="G306" s="984"/>
      <c r="H306" s="985"/>
      <c r="I306" s="986">
        <f t="shared" si="25"/>
        <v>0</v>
      </c>
      <c r="J306" s="975"/>
      <c r="K306" s="969"/>
      <c r="L306" s="976"/>
      <c r="M306" s="969"/>
      <c r="N306" s="977">
        <f t="shared" si="22"/>
        <v>0</v>
      </c>
      <c r="O306" s="988"/>
      <c r="P306" s="978" t="str">
        <f t="shared" si="21"/>
        <v/>
      </c>
      <c r="Q306" s="979"/>
      <c r="R306" s="989"/>
      <c r="S306" s="978" t="str">
        <f t="shared" si="23"/>
        <v/>
      </c>
      <c r="T306" s="980"/>
      <c r="U306" s="990" t="str">
        <f t="shared" si="24"/>
        <v/>
      </c>
    </row>
  </sheetData>
  <sheetProtection sheet="1" selectLockedCells="1"/>
  <mergeCells count="2">
    <mergeCell ref="O4:T4"/>
    <mergeCell ref="T5:T6"/>
  </mergeCells>
  <dataValidations count="1">
    <dataValidation type="list" allowBlank="1" showInputMessage="1" showErrorMessage="1" sqref="U6" xr:uid="{15AC7EB6-D810-4FE6-87F2-6AC1DBFC8E75}">
      <formula1>"Variante 1,Variante 2,Variante 3"</formula1>
    </dataValidation>
  </dataValidations>
  <pageMargins left="0.7" right="0.7" top="0.78740157499999996" bottom="0.78740157499999996" header="0.3" footer="0.3"/>
  <pageSetup paperSize="8" scale="80" fitToHeight="4" orientation="landscape" r:id="rId1"/>
  <colBreaks count="1" manualBreakCount="1">
    <brk id="21" min="3" max="30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52193-54B9-4B3B-9A5E-E17C56E33B19}">
  <sheetPr>
    <tabColor theme="0" tint="-0.249977111117893"/>
  </sheetPr>
  <dimension ref="A1:H30"/>
  <sheetViews>
    <sheetView showGridLines="0" showZeros="0" zoomScale="115" zoomScaleNormal="115" zoomScaleSheetLayoutView="115" workbookViewId="0">
      <selection activeCell="A6" sqref="A6"/>
    </sheetView>
  </sheetViews>
  <sheetFormatPr baseColWidth="10" defaultColWidth="10.81640625" defaultRowHeight="11.5"/>
  <cols>
    <col min="1" max="1" width="41" style="940" customWidth="1"/>
    <col min="2" max="6" width="10.81640625" style="940" customWidth="1"/>
    <col min="7" max="16384" width="10.81640625" style="940"/>
  </cols>
  <sheetData>
    <row r="1" spans="1:8">
      <c r="A1" s="938" t="s">
        <v>336</v>
      </c>
      <c r="B1" s="939"/>
      <c r="C1" s="939"/>
      <c r="D1" s="939"/>
      <c r="E1" s="939"/>
      <c r="F1" s="939"/>
    </row>
    <row r="2" spans="1:8">
      <c r="A2" s="938" t="s">
        <v>847</v>
      </c>
      <c r="B2" s="939"/>
      <c r="C2" s="939"/>
      <c r="D2" s="939"/>
      <c r="E2" s="939"/>
      <c r="F2" s="939"/>
    </row>
    <row r="3" spans="1:8" ht="6" customHeight="1"/>
    <row r="4" spans="1:8">
      <c r="A4" s="991"/>
      <c r="B4" s="1389" t="s">
        <v>337</v>
      </c>
      <c r="C4" s="1391" t="s">
        <v>26</v>
      </c>
      <c r="D4" s="1385"/>
      <c r="E4" s="1385"/>
      <c r="F4" s="1386"/>
      <c r="G4" s="948"/>
    </row>
    <row r="5" spans="1:8" ht="30" customHeight="1">
      <c r="A5" s="992" t="s">
        <v>320</v>
      </c>
      <c r="B5" s="1390"/>
      <c r="C5" s="993" t="s">
        <v>338</v>
      </c>
      <c r="D5" s="961" t="s">
        <v>339</v>
      </c>
      <c r="E5" s="959" t="s">
        <v>340</v>
      </c>
      <c r="F5" s="994" t="s">
        <v>341</v>
      </c>
      <c r="G5" s="948"/>
    </row>
    <row r="6" spans="1:8">
      <c r="A6" s="995" t="s">
        <v>122</v>
      </c>
      <c r="B6" s="996">
        <f>SUMIF('StPl-Berechnung'!C:C,'StPl-Summen'!A6,'StPl-Berechnung'!J:J)</f>
        <v>0</v>
      </c>
      <c r="C6" s="997">
        <f>SUMIFS('StPl-Berechnung'!$U:$U,'StPl-Berechnung'!$C:$C,'StPl-Summen'!A6,'StPl-Berechnung'!$F:$F,"B")</f>
        <v>0</v>
      </c>
      <c r="D6" s="998">
        <f>SUMIFS('StPl-Berechnung'!$U:$U,'StPl-Berechnung'!$C:$C,'StPl-Summen'!A6,'StPl-Berechnung'!$F:$F,"E")</f>
        <v>0</v>
      </c>
      <c r="E6" s="998">
        <f>SUMIFS('StPl-Berechnung'!$U:$U,'StPl-Berechnung'!$C:$C,'StPl-Summen'!A6,'StPl-Berechnung'!$F:$F,"M")</f>
        <v>0</v>
      </c>
      <c r="F6" s="999">
        <f>SUM(C6:E6)</f>
        <v>0</v>
      </c>
      <c r="G6" s="982"/>
      <c r="H6" s="983"/>
    </row>
    <row r="7" spans="1:8">
      <c r="A7" s="995" t="s">
        <v>3</v>
      </c>
      <c r="B7" s="996">
        <f>SUMIF('StPl-Berechnung'!C:C,'StPl-Summen'!A7,'StPl-Berechnung'!J:J)</f>
        <v>0</v>
      </c>
      <c r="C7" s="997">
        <f>SUMIFS('StPl-Berechnung'!$U:$U,'StPl-Berechnung'!$C:$C,'StPl-Summen'!A7,'StPl-Berechnung'!$F:$F,"B")</f>
        <v>0</v>
      </c>
      <c r="D7" s="998">
        <f>SUMIFS('StPl-Berechnung'!$U:$U,'StPl-Berechnung'!$C:$C,'StPl-Summen'!A7,'StPl-Berechnung'!$F:$F,"E")</f>
        <v>0</v>
      </c>
      <c r="E7" s="998">
        <f>SUMIFS('StPl-Berechnung'!$U:$U,'StPl-Berechnung'!$C:$C,'StPl-Summen'!A7,'StPl-Berechnung'!$F:$F,"M")</f>
        <v>0</v>
      </c>
      <c r="F7" s="999">
        <f t="shared" ref="F7:F29" si="0">SUM(C7:E7)</f>
        <v>0</v>
      </c>
      <c r="G7" s="982"/>
      <c r="H7" s="983"/>
    </row>
    <row r="8" spans="1:8">
      <c r="A8" s="995" t="s">
        <v>4</v>
      </c>
      <c r="B8" s="996">
        <f>SUMIF('StPl-Berechnung'!C:C,'StPl-Summen'!A8,'StPl-Berechnung'!J:J)</f>
        <v>0</v>
      </c>
      <c r="C8" s="997">
        <f>SUMIFS('StPl-Berechnung'!$U:$U,'StPl-Berechnung'!$C:$C,'StPl-Summen'!A8,'StPl-Berechnung'!$F:$F,"B")</f>
        <v>0</v>
      </c>
      <c r="D8" s="998">
        <f>SUMIFS('StPl-Berechnung'!$U:$U,'StPl-Berechnung'!$C:$C,'StPl-Summen'!A8,'StPl-Berechnung'!$F:$F,"E")</f>
        <v>0</v>
      </c>
      <c r="E8" s="998">
        <f>SUMIFS('StPl-Berechnung'!$U:$U,'StPl-Berechnung'!$C:$C,'StPl-Summen'!A8,'StPl-Berechnung'!$F:$F,"M")</f>
        <v>0</v>
      </c>
      <c r="F8" s="999">
        <f t="shared" si="0"/>
        <v>0</v>
      </c>
      <c r="G8" s="982"/>
      <c r="H8" s="983"/>
    </row>
    <row r="9" spans="1:8">
      <c r="A9" s="995" t="s">
        <v>5</v>
      </c>
      <c r="B9" s="996">
        <f>SUMIF('StPl-Berechnung'!C:C,'StPl-Summen'!A9,'StPl-Berechnung'!J:J)</f>
        <v>0</v>
      </c>
      <c r="C9" s="997">
        <f>SUMIFS('StPl-Berechnung'!$U:$U,'StPl-Berechnung'!$C:$C,'StPl-Summen'!A9,'StPl-Berechnung'!$F:$F,"B")</f>
        <v>0</v>
      </c>
      <c r="D9" s="998">
        <f>SUMIFS('StPl-Berechnung'!$U:$U,'StPl-Berechnung'!$C:$C,'StPl-Summen'!A9,'StPl-Berechnung'!$F:$F,"E")</f>
        <v>0</v>
      </c>
      <c r="E9" s="998">
        <f>SUMIFS('StPl-Berechnung'!$U:$U,'StPl-Berechnung'!$C:$C,'StPl-Summen'!A9,'StPl-Berechnung'!$F:$F,"M")</f>
        <v>0</v>
      </c>
      <c r="F9" s="999">
        <f t="shared" si="0"/>
        <v>0</v>
      </c>
      <c r="G9" s="982"/>
      <c r="H9" s="983"/>
    </row>
    <row r="10" spans="1:8">
      <c r="A10" s="995" t="s">
        <v>17</v>
      </c>
      <c r="B10" s="996">
        <f>SUMIF('StPl-Berechnung'!C:C,'StPl-Summen'!A10,'StPl-Berechnung'!J:J)</f>
        <v>0</v>
      </c>
      <c r="C10" s="997">
        <f>SUMIFS('StPl-Berechnung'!$U:$U,'StPl-Berechnung'!$C:$C,'StPl-Summen'!A10,'StPl-Berechnung'!$F:$F,"B")</f>
        <v>0</v>
      </c>
      <c r="D10" s="998">
        <f>SUMIFS('StPl-Berechnung'!$U:$U,'StPl-Berechnung'!$C:$C,'StPl-Summen'!A10,'StPl-Berechnung'!$F:$F,"E")</f>
        <v>0</v>
      </c>
      <c r="E10" s="998">
        <f>SUMIFS('StPl-Berechnung'!$U:$U,'StPl-Berechnung'!$C:$C,'StPl-Summen'!A10,'StPl-Berechnung'!$F:$F,"M")</f>
        <v>0</v>
      </c>
      <c r="F10" s="999">
        <f t="shared" si="0"/>
        <v>0</v>
      </c>
      <c r="G10" s="982"/>
      <c r="H10" s="983"/>
    </row>
    <row r="11" spans="1:8">
      <c r="A11" s="995" t="s">
        <v>6</v>
      </c>
      <c r="B11" s="996">
        <f>SUMIF('StPl-Berechnung'!C:C,'StPl-Summen'!A11,'StPl-Berechnung'!J:J)</f>
        <v>0</v>
      </c>
      <c r="C11" s="997">
        <f>SUMIFS('StPl-Berechnung'!$U:$U,'StPl-Berechnung'!$C:$C,'StPl-Summen'!A11,'StPl-Berechnung'!$F:$F,"B")</f>
        <v>0</v>
      </c>
      <c r="D11" s="998">
        <f>SUMIFS('StPl-Berechnung'!$U:$U,'StPl-Berechnung'!$C:$C,'StPl-Summen'!A11,'StPl-Berechnung'!$F:$F,"E")</f>
        <v>0</v>
      </c>
      <c r="E11" s="998">
        <f>SUMIFS('StPl-Berechnung'!$U:$U,'StPl-Berechnung'!$C:$C,'StPl-Summen'!A11,'StPl-Berechnung'!$F:$F,"M")</f>
        <v>0</v>
      </c>
      <c r="F11" s="999">
        <f t="shared" si="0"/>
        <v>0</v>
      </c>
      <c r="G11" s="982"/>
      <c r="H11" s="983"/>
    </row>
    <row r="12" spans="1:8">
      <c r="A12" s="995" t="s">
        <v>7</v>
      </c>
      <c r="B12" s="996">
        <f>SUMIF('StPl-Berechnung'!C:C,'StPl-Summen'!A12,'StPl-Berechnung'!J:J)</f>
        <v>0</v>
      </c>
      <c r="C12" s="997">
        <f>SUMIFS('StPl-Berechnung'!$U:$U,'StPl-Berechnung'!$C:$C,'StPl-Summen'!A12,'StPl-Berechnung'!$F:$F,"B")</f>
        <v>0</v>
      </c>
      <c r="D12" s="998">
        <f>SUMIFS('StPl-Berechnung'!$U:$U,'StPl-Berechnung'!$C:$C,'StPl-Summen'!A12,'StPl-Berechnung'!$F:$F,"E")</f>
        <v>0</v>
      </c>
      <c r="E12" s="998">
        <f>SUMIFS('StPl-Berechnung'!$U:$U,'StPl-Berechnung'!$C:$C,'StPl-Summen'!A12,'StPl-Berechnung'!$F:$F,"M")</f>
        <v>0</v>
      </c>
      <c r="F12" s="999">
        <f t="shared" si="0"/>
        <v>0</v>
      </c>
      <c r="G12" s="982"/>
      <c r="H12" s="983"/>
    </row>
    <row r="13" spans="1:8">
      <c r="A13" s="995" t="s">
        <v>105</v>
      </c>
      <c r="B13" s="996">
        <f>SUMIF('StPl-Berechnung'!C:C,'StPl-Summen'!A13,'StPl-Berechnung'!J:J)</f>
        <v>0</v>
      </c>
      <c r="C13" s="997">
        <f>SUMIFS('StPl-Berechnung'!$U:$U,'StPl-Berechnung'!$C:$C,'StPl-Summen'!A13,'StPl-Berechnung'!$F:$F,"B")</f>
        <v>0</v>
      </c>
      <c r="D13" s="998">
        <f>SUMIFS('StPl-Berechnung'!$U:$U,'StPl-Berechnung'!$C:$C,'StPl-Summen'!A13,'StPl-Berechnung'!$F:$F,"E")</f>
        <v>0</v>
      </c>
      <c r="E13" s="998">
        <f>SUMIFS('StPl-Berechnung'!$U:$U,'StPl-Berechnung'!$C:$C,'StPl-Summen'!A13,'StPl-Berechnung'!$F:$F,"M")</f>
        <v>0</v>
      </c>
      <c r="F13" s="999">
        <f t="shared" si="0"/>
        <v>0</v>
      </c>
      <c r="G13" s="982"/>
      <c r="H13" s="983"/>
    </row>
    <row r="14" spans="1:8">
      <c r="A14" s="995" t="s">
        <v>21</v>
      </c>
      <c r="B14" s="996">
        <f>SUMIF('StPl-Berechnung'!C:C,'StPl-Summen'!A14,'StPl-Berechnung'!J:J)</f>
        <v>0</v>
      </c>
      <c r="C14" s="997">
        <f>SUMIFS('StPl-Berechnung'!$U:$U,'StPl-Berechnung'!$C:$C,'StPl-Summen'!A14,'StPl-Berechnung'!$F:$F,"B")</f>
        <v>0</v>
      </c>
      <c r="D14" s="998">
        <f>SUMIFS('StPl-Berechnung'!$U:$U,'StPl-Berechnung'!$C:$C,'StPl-Summen'!A14,'StPl-Berechnung'!$F:$F,"E")</f>
        <v>0</v>
      </c>
      <c r="E14" s="998">
        <f>SUMIFS('StPl-Berechnung'!$U:$U,'StPl-Berechnung'!$C:$C,'StPl-Summen'!A14,'StPl-Berechnung'!$F:$F,"M")</f>
        <v>0</v>
      </c>
      <c r="F14" s="999">
        <f t="shared" si="0"/>
        <v>0</v>
      </c>
      <c r="G14" s="982"/>
      <c r="H14" s="983"/>
    </row>
    <row r="15" spans="1:8">
      <c r="A15" s="995" t="s">
        <v>106</v>
      </c>
      <c r="B15" s="996">
        <f>SUMIF('StPl-Berechnung'!C:C,'StPl-Summen'!A15,'StPl-Berechnung'!J:J)</f>
        <v>0</v>
      </c>
      <c r="C15" s="997">
        <f>SUMIFS('StPl-Berechnung'!$U:$U,'StPl-Berechnung'!$C:$C,'StPl-Summen'!A15,'StPl-Berechnung'!$F:$F,"B")</f>
        <v>0</v>
      </c>
      <c r="D15" s="998">
        <f>SUMIFS('StPl-Berechnung'!$U:$U,'StPl-Berechnung'!$C:$C,'StPl-Summen'!A15,'StPl-Berechnung'!$F:$F,"E")</f>
        <v>0</v>
      </c>
      <c r="E15" s="998">
        <f>SUMIFS('StPl-Berechnung'!$U:$U,'StPl-Berechnung'!$C:$C,'StPl-Summen'!A15,'StPl-Berechnung'!$F:$F,"M")</f>
        <v>0</v>
      </c>
      <c r="F15" s="999">
        <f t="shared" si="0"/>
        <v>0</v>
      </c>
      <c r="G15" s="982"/>
      <c r="H15" s="983"/>
    </row>
    <row r="16" spans="1:8">
      <c r="A16" s="995" t="s">
        <v>271</v>
      </c>
      <c r="B16" s="996">
        <f>SUMIF('StPl-Berechnung'!C:C,'StPl-Summen'!A16,'StPl-Berechnung'!J:J)</f>
        <v>0</v>
      </c>
      <c r="C16" s="997">
        <f>SUMIFS('StPl-Berechnung'!$U:$U,'StPl-Berechnung'!$C:$C,'StPl-Summen'!A16,'StPl-Berechnung'!$F:$F,"B")</f>
        <v>0</v>
      </c>
      <c r="D16" s="998">
        <f>SUMIFS('StPl-Berechnung'!$U:$U,'StPl-Berechnung'!$C:$C,'StPl-Summen'!A16,'StPl-Berechnung'!$F:$F,"E")</f>
        <v>0</v>
      </c>
      <c r="E16" s="998">
        <f>SUMIFS('StPl-Berechnung'!$U:$U,'StPl-Berechnung'!$C:$C,'StPl-Summen'!A16,'StPl-Berechnung'!$F:$F,"M")</f>
        <v>0</v>
      </c>
      <c r="F16" s="999">
        <f t="shared" si="0"/>
        <v>0</v>
      </c>
      <c r="G16" s="982"/>
      <c r="H16" s="983"/>
    </row>
    <row r="17" spans="1:6">
      <c r="A17" s="995" t="s">
        <v>188</v>
      </c>
      <c r="B17" s="996">
        <f>SUMIF('StPl-Berechnung'!C:C,'StPl-Summen'!A17,'StPl-Berechnung'!J:J)</f>
        <v>0</v>
      </c>
      <c r="C17" s="997">
        <f>SUMIFS('StPl-Berechnung'!$U:$U,'StPl-Berechnung'!$C:$C,'StPl-Summen'!A17,'StPl-Berechnung'!$F:$F,"B")</f>
        <v>0</v>
      </c>
      <c r="D17" s="998">
        <f>SUMIFS('StPl-Berechnung'!$U:$U,'StPl-Berechnung'!$C:$C,'StPl-Summen'!A17,'StPl-Berechnung'!$F:$F,"E")</f>
        <v>0</v>
      </c>
      <c r="E17" s="998">
        <f>SUMIFS('StPl-Berechnung'!$U:$U,'StPl-Berechnung'!$C:$C,'StPl-Summen'!A17,'StPl-Berechnung'!$F:$F,"M")</f>
        <v>0</v>
      </c>
      <c r="F17" s="999">
        <f t="shared" si="0"/>
        <v>0</v>
      </c>
    </row>
    <row r="18" spans="1:6">
      <c r="A18" s="995" t="s">
        <v>10</v>
      </c>
      <c r="B18" s="996">
        <f>SUMIF('StPl-Berechnung'!C:C,'StPl-Summen'!A18,'StPl-Berechnung'!J:J)</f>
        <v>0</v>
      </c>
      <c r="C18" s="997">
        <f>SUMIFS('StPl-Berechnung'!$U:$U,'StPl-Berechnung'!$C:$C,'StPl-Summen'!A18,'StPl-Berechnung'!$F:$F,"B")</f>
        <v>0</v>
      </c>
      <c r="D18" s="998">
        <f>SUMIFS('StPl-Berechnung'!$U:$U,'StPl-Berechnung'!$C:$C,'StPl-Summen'!A18,'StPl-Berechnung'!$F:$F,"E")</f>
        <v>0</v>
      </c>
      <c r="E18" s="998">
        <f>SUMIFS('StPl-Berechnung'!$U:$U,'StPl-Berechnung'!$C:$C,'StPl-Summen'!A18,'StPl-Berechnung'!$F:$F,"M")</f>
        <v>0</v>
      </c>
      <c r="F18" s="999">
        <f t="shared" si="0"/>
        <v>0</v>
      </c>
    </row>
    <row r="19" spans="1:6">
      <c r="A19" s="995"/>
      <c r="B19" s="996">
        <f>SUMIF('StPl-Berechnung'!C:C,'StPl-Summen'!A19,'StPl-Berechnung'!J:J)</f>
        <v>0</v>
      </c>
      <c r="C19" s="997">
        <f>SUMIFS('StPl-Berechnung'!$U:$U,'StPl-Berechnung'!$C:$C,'StPl-Summen'!A19,'StPl-Berechnung'!$F:$F,"B")</f>
        <v>0</v>
      </c>
      <c r="D19" s="998">
        <f>SUMIFS('StPl-Berechnung'!$U:$U,'StPl-Berechnung'!$C:$C,'StPl-Summen'!A19,'StPl-Berechnung'!$F:$F,"E")</f>
        <v>0</v>
      </c>
      <c r="E19" s="998">
        <f>SUMIFS('StPl-Berechnung'!$U:$U,'StPl-Berechnung'!$C:$C,'StPl-Summen'!A19,'StPl-Berechnung'!$F:$F,"M")</f>
        <v>0</v>
      </c>
      <c r="F19" s="999">
        <f t="shared" si="0"/>
        <v>0</v>
      </c>
    </row>
    <row r="20" spans="1:6">
      <c r="A20" s="995"/>
      <c r="B20" s="996">
        <f>SUMIF('StPl-Berechnung'!C:C,'StPl-Summen'!A20,'StPl-Berechnung'!J:J)</f>
        <v>0</v>
      </c>
      <c r="C20" s="997">
        <f>SUMIFS('StPl-Berechnung'!$U:$U,'StPl-Berechnung'!$C:$C,'StPl-Summen'!A20,'StPl-Berechnung'!$F:$F,"B")</f>
        <v>0</v>
      </c>
      <c r="D20" s="998">
        <f>SUMIFS('StPl-Berechnung'!$U:$U,'StPl-Berechnung'!$C:$C,'StPl-Summen'!A20,'StPl-Berechnung'!$F:$F,"E")</f>
        <v>0</v>
      </c>
      <c r="E20" s="998">
        <f>SUMIFS('StPl-Berechnung'!$U:$U,'StPl-Berechnung'!$C:$C,'StPl-Summen'!A20,'StPl-Berechnung'!$F:$F,"M")</f>
        <v>0</v>
      </c>
      <c r="F20" s="999">
        <f t="shared" si="0"/>
        <v>0</v>
      </c>
    </row>
    <row r="21" spans="1:6">
      <c r="A21" s="995"/>
      <c r="B21" s="996">
        <f>SUMIF('StPl-Berechnung'!C:C,'StPl-Summen'!A21,'StPl-Berechnung'!J:J)</f>
        <v>0</v>
      </c>
      <c r="C21" s="997">
        <f>SUMIFS('StPl-Berechnung'!$U:$U,'StPl-Berechnung'!$C:$C,'StPl-Summen'!A21,'StPl-Berechnung'!$F:$F,"B")</f>
        <v>0</v>
      </c>
      <c r="D21" s="998">
        <f>SUMIFS('StPl-Berechnung'!$U:$U,'StPl-Berechnung'!$C:$C,'StPl-Summen'!A21,'StPl-Berechnung'!$F:$F,"E")</f>
        <v>0</v>
      </c>
      <c r="E21" s="998">
        <f>SUMIFS('StPl-Berechnung'!$U:$U,'StPl-Berechnung'!$C:$C,'StPl-Summen'!A21,'StPl-Berechnung'!$F:$F,"M")</f>
        <v>0</v>
      </c>
      <c r="F21" s="999">
        <f t="shared" si="0"/>
        <v>0</v>
      </c>
    </row>
    <row r="22" spans="1:6">
      <c r="A22" s="995"/>
      <c r="B22" s="996">
        <f>SUMIF('StPl-Berechnung'!C:C,'StPl-Summen'!A22,'StPl-Berechnung'!J:J)</f>
        <v>0</v>
      </c>
      <c r="C22" s="997">
        <f>SUMIFS('StPl-Berechnung'!$U:$U,'StPl-Berechnung'!$C:$C,'StPl-Summen'!A22,'StPl-Berechnung'!$F:$F,"B")</f>
        <v>0</v>
      </c>
      <c r="D22" s="998">
        <f>SUMIFS('StPl-Berechnung'!$U:$U,'StPl-Berechnung'!$C:$C,'StPl-Summen'!A22,'StPl-Berechnung'!$F:$F,"E")</f>
        <v>0</v>
      </c>
      <c r="E22" s="998">
        <f>SUMIFS('StPl-Berechnung'!$U:$U,'StPl-Berechnung'!$C:$C,'StPl-Summen'!A22,'StPl-Berechnung'!$F:$F,"M")</f>
        <v>0</v>
      </c>
      <c r="F22" s="999">
        <f t="shared" si="0"/>
        <v>0</v>
      </c>
    </row>
    <row r="23" spans="1:6">
      <c r="A23" s="995"/>
      <c r="B23" s="996">
        <f>SUMIF('StPl-Berechnung'!C:C,'StPl-Summen'!A23,'StPl-Berechnung'!J:J)</f>
        <v>0</v>
      </c>
      <c r="C23" s="997">
        <f>SUMIFS('StPl-Berechnung'!$U:$U,'StPl-Berechnung'!$C:$C,'StPl-Summen'!A23,'StPl-Berechnung'!$F:$F,"B")</f>
        <v>0</v>
      </c>
      <c r="D23" s="998">
        <f>SUMIFS('StPl-Berechnung'!$U:$U,'StPl-Berechnung'!$C:$C,'StPl-Summen'!A23,'StPl-Berechnung'!$F:$F,"E")</f>
        <v>0</v>
      </c>
      <c r="E23" s="998">
        <f>SUMIFS('StPl-Berechnung'!$U:$U,'StPl-Berechnung'!$C:$C,'StPl-Summen'!A23,'StPl-Berechnung'!$F:$F,"M")</f>
        <v>0</v>
      </c>
      <c r="F23" s="999">
        <f t="shared" si="0"/>
        <v>0</v>
      </c>
    </row>
    <row r="24" spans="1:6">
      <c r="A24" s="995"/>
      <c r="B24" s="996">
        <f>SUMIF('StPl-Berechnung'!C:C,'StPl-Summen'!A24,'StPl-Berechnung'!J:J)</f>
        <v>0</v>
      </c>
      <c r="C24" s="997">
        <f>SUMIFS('StPl-Berechnung'!$U:$U,'StPl-Berechnung'!$C:$C,'StPl-Summen'!A24,'StPl-Berechnung'!$F:$F,"B")</f>
        <v>0</v>
      </c>
      <c r="D24" s="998">
        <f>SUMIFS('StPl-Berechnung'!$U:$U,'StPl-Berechnung'!$C:$C,'StPl-Summen'!A24,'StPl-Berechnung'!$F:$F,"E")</f>
        <v>0</v>
      </c>
      <c r="E24" s="998">
        <f>SUMIFS('StPl-Berechnung'!$U:$U,'StPl-Berechnung'!$C:$C,'StPl-Summen'!A24,'StPl-Berechnung'!$F:$F,"M")</f>
        <v>0</v>
      </c>
      <c r="F24" s="999">
        <f t="shared" si="0"/>
        <v>0</v>
      </c>
    </row>
    <row r="25" spans="1:6">
      <c r="A25" s="995"/>
      <c r="B25" s="996">
        <f>SUMIF('StPl-Berechnung'!C:C,'StPl-Summen'!A25,'StPl-Berechnung'!J:J)</f>
        <v>0</v>
      </c>
      <c r="C25" s="997">
        <f>SUMIFS('StPl-Berechnung'!$U:$U,'StPl-Berechnung'!$C:$C,'StPl-Summen'!A25,'StPl-Berechnung'!$F:$F,"B")</f>
        <v>0</v>
      </c>
      <c r="D25" s="998">
        <f>SUMIFS('StPl-Berechnung'!$U:$U,'StPl-Berechnung'!$C:$C,'StPl-Summen'!A25,'StPl-Berechnung'!$F:$F,"E")</f>
        <v>0</v>
      </c>
      <c r="E25" s="998">
        <f>SUMIFS('StPl-Berechnung'!$U:$U,'StPl-Berechnung'!$C:$C,'StPl-Summen'!A25,'StPl-Berechnung'!$F:$F,"M")</f>
        <v>0</v>
      </c>
      <c r="F25" s="999">
        <f t="shared" si="0"/>
        <v>0</v>
      </c>
    </row>
    <row r="26" spans="1:6">
      <c r="A26" s="995"/>
      <c r="B26" s="996">
        <f>SUMIF('StPl-Berechnung'!C:C,'StPl-Summen'!A26,'StPl-Berechnung'!J:J)</f>
        <v>0</v>
      </c>
      <c r="C26" s="997">
        <f>SUMIFS('StPl-Berechnung'!$U:$U,'StPl-Berechnung'!$C:$C,'StPl-Summen'!A26,'StPl-Berechnung'!$F:$F,"B")</f>
        <v>0</v>
      </c>
      <c r="D26" s="998">
        <f>SUMIFS('StPl-Berechnung'!$U:$U,'StPl-Berechnung'!$C:$C,'StPl-Summen'!A26,'StPl-Berechnung'!$F:$F,"E")</f>
        <v>0</v>
      </c>
      <c r="E26" s="998">
        <f>SUMIFS('StPl-Berechnung'!$U:$U,'StPl-Berechnung'!$C:$C,'StPl-Summen'!A26,'StPl-Berechnung'!$F:$F,"M")</f>
        <v>0</v>
      </c>
      <c r="F26" s="999">
        <f t="shared" si="0"/>
        <v>0</v>
      </c>
    </row>
    <row r="27" spans="1:6">
      <c r="A27" s="995"/>
      <c r="B27" s="996">
        <f>SUMIF('StPl-Berechnung'!C:C,'StPl-Summen'!A27,'StPl-Berechnung'!J:J)</f>
        <v>0</v>
      </c>
      <c r="C27" s="997">
        <f>SUMIFS('StPl-Berechnung'!$U:$U,'StPl-Berechnung'!$C:$C,'StPl-Summen'!A27,'StPl-Berechnung'!$F:$F,"B")</f>
        <v>0</v>
      </c>
      <c r="D27" s="998">
        <f>SUMIFS('StPl-Berechnung'!$U:$U,'StPl-Berechnung'!$C:$C,'StPl-Summen'!A27,'StPl-Berechnung'!$F:$F,"E")</f>
        <v>0</v>
      </c>
      <c r="E27" s="998">
        <f>SUMIFS('StPl-Berechnung'!$U:$U,'StPl-Berechnung'!$C:$C,'StPl-Summen'!A27,'StPl-Berechnung'!$F:$F,"M")</f>
        <v>0</v>
      </c>
      <c r="F27" s="999">
        <f t="shared" si="0"/>
        <v>0</v>
      </c>
    </row>
    <row r="28" spans="1:6">
      <c r="A28" s="995"/>
      <c r="B28" s="996">
        <f>SUMIF('StPl-Berechnung'!C:C,'StPl-Summen'!A28,'StPl-Berechnung'!J:J)</f>
        <v>0</v>
      </c>
      <c r="C28" s="997">
        <f>SUMIFS('StPl-Berechnung'!$U:$U,'StPl-Berechnung'!$C:$C,'StPl-Summen'!A28,'StPl-Berechnung'!$F:$F,"B")</f>
        <v>0</v>
      </c>
      <c r="D28" s="998">
        <f>SUMIFS('StPl-Berechnung'!$U:$U,'StPl-Berechnung'!$C:$C,'StPl-Summen'!A28,'StPl-Berechnung'!$F:$F,"E")</f>
        <v>0</v>
      </c>
      <c r="E28" s="998">
        <f>SUMIFS('StPl-Berechnung'!$U:$U,'StPl-Berechnung'!$C:$C,'StPl-Summen'!A28,'StPl-Berechnung'!$F:$F,"M")</f>
        <v>0</v>
      </c>
      <c r="F28" s="999">
        <f t="shared" si="0"/>
        <v>0</v>
      </c>
    </row>
    <row r="29" spans="1:6">
      <c r="A29" s="1000"/>
      <c r="B29" s="1001">
        <f>SUMIF('StPl-Berechnung'!C:C,'StPl-Summen'!A29,'StPl-Berechnung'!J:J)</f>
        <v>0</v>
      </c>
      <c r="C29" s="1002">
        <f>SUMIFS('StPl-Berechnung'!$U:$U,'StPl-Berechnung'!$C:$C,'StPl-Summen'!A29,'StPl-Berechnung'!$F:$F,"B")</f>
        <v>0</v>
      </c>
      <c r="D29" s="1003">
        <f>SUMIFS('StPl-Berechnung'!$U:$U,'StPl-Berechnung'!$C:$C,'StPl-Summen'!A29,'StPl-Berechnung'!$F:$F,"E")</f>
        <v>0</v>
      </c>
      <c r="E29" s="1004">
        <f>SUMIFS('StPl-Berechnung'!$U:$U,'StPl-Berechnung'!$C:$C,'StPl-Summen'!A29,'StPl-Berechnung'!$F:$F,"M")</f>
        <v>0</v>
      </c>
      <c r="F29" s="1005">
        <f t="shared" si="0"/>
        <v>0</v>
      </c>
    </row>
    <row r="30" spans="1:6">
      <c r="A30" s="1006" t="s">
        <v>342</v>
      </c>
      <c r="B30" s="948"/>
      <c r="C30" s="1007">
        <f>SUM(C6:C29)</f>
        <v>0</v>
      </c>
      <c r="D30" s="1008">
        <f>SUM(D6:D29)</f>
        <v>0</v>
      </c>
      <c r="E30" s="1008">
        <f>SUM(E6:E29)</f>
        <v>0</v>
      </c>
      <c r="F30" s="999">
        <f>SUM(F6:F29)</f>
        <v>0</v>
      </c>
    </row>
  </sheetData>
  <sheetProtection sheet="1" insertRows="0" selectLockedCells="1"/>
  <mergeCells count="2">
    <mergeCell ref="B4:B5"/>
    <mergeCell ref="C4:F4"/>
  </mergeCells>
  <dataValidations count="1">
    <dataValidation allowBlank="1" showInputMessage="1" showErrorMessage="1" prompt="Übernehmen Sie hier die Namen aus der Spalte C des Tabellenblatts &quot;StPl-Berechnung&quot;. _x000a__x000a_Wenn Sie weitere Zeilen einfügen, müssen Sie die Formeln aus den Spalten B-F in die neuen Zeilen kopieren." sqref="A6" xr:uid="{2A365F31-5D70-489C-BAC6-8B60FF19ABF5}"/>
  </dataValidations>
  <pageMargins left="0.7" right="0.7" top="0.78740157499999996" bottom="0.78740157499999996" header="0.3" footer="0.3"/>
  <pageSetup paperSize="9" scale="93" orientation="portrait" r:id="rId1"/>
  <colBreaks count="1" manualBreakCount="1">
    <brk id="6"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2FBFA-FD1D-4DB0-84A4-65C9320E0EE9}">
  <sheetPr>
    <tabColor theme="0" tint="-4.9989318521683403E-2"/>
  </sheetPr>
  <dimension ref="A1:O280"/>
  <sheetViews>
    <sheetView showGridLines="0" zoomScale="115" zoomScaleNormal="115" zoomScaleSheetLayoutView="115" workbookViewId="0"/>
  </sheetViews>
  <sheetFormatPr baseColWidth="10" defaultColWidth="11.453125" defaultRowHeight="11.5"/>
  <cols>
    <col min="1" max="1" width="4.26953125" style="1015" customWidth="1"/>
    <col min="2" max="2" width="53.1796875" style="940" customWidth="1"/>
    <col min="3" max="3" width="45.7265625" style="1016" customWidth="1"/>
    <col min="4" max="4" width="9.81640625" style="1016" customWidth="1"/>
    <col min="5" max="13" width="7.7265625" style="940" customWidth="1"/>
    <col min="14" max="16384" width="11.453125" style="940"/>
  </cols>
  <sheetData>
    <row r="1" spans="1:14">
      <c r="A1" s="938" t="s">
        <v>848</v>
      </c>
      <c r="B1" s="939"/>
      <c r="C1" s="939"/>
      <c r="D1" s="939"/>
      <c r="E1" s="939"/>
      <c r="F1" s="939"/>
    </row>
    <row r="2" spans="1:14" ht="6" customHeight="1">
      <c r="A2" s="940"/>
      <c r="C2" s="940"/>
      <c r="D2" s="940"/>
    </row>
    <row r="3" spans="1:14" s="907" customFormat="1" ht="21" customHeight="1">
      <c r="A3" s="1009" t="s">
        <v>366</v>
      </c>
      <c r="B3" s="1010" t="s">
        <v>367</v>
      </c>
      <c r="C3" s="1018" t="s">
        <v>344</v>
      </c>
      <c r="D3" s="1018" t="s">
        <v>368</v>
      </c>
      <c r="E3" s="1019"/>
      <c r="J3" s="1019"/>
    </row>
    <row r="4" spans="1:14" s="907" customFormat="1" ht="4.5" customHeight="1">
      <c r="A4" s="1020"/>
      <c r="B4" s="1021"/>
      <c r="C4" s="1022"/>
      <c r="D4" s="1022"/>
    </row>
    <row r="5" spans="1:14">
      <c r="A5" s="1023"/>
      <c r="B5" s="1024" t="s">
        <v>369</v>
      </c>
      <c r="C5" s="1024"/>
      <c r="D5" s="1024"/>
      <c r="M5" s="1025"/>
      <c r="N5" s="907"/>
    </row>
    <row r="6" spans="1:14">
      <c r="A6" s="1013">
        <v>110</v>
      </c>
      <c r="B6" s="1026" t="s">
        <v>370</v>
      </c>
      <c r="C6" s="1027" t="s">
        <v>371</v>
      </c>
      <c r="D6" s="1027"/>
    </row>
    <row r="7" spans="1:14">
      <c r="A7" s="1013">
        <v>111</v>
      </c>
      <c r="B7" s="1028" t="s">
        <v>372</v>
      </c>
      <c r="C7" s="1027" t="s">
        <v>371</v>
      </c>
      <c r="D7" s="1027"/>
    </row>
    <row r="8" spans="1:14" ht="10.5" customHeight="1">
      <c r="A8" s="1013">
        <v>112</v>
      </c>
      <c r="B8" s="1014" t="s">
        <v>373</v>
      </c>
      <c r="C8" s="1027" t="s">
        <v>371</v>
      </c>
      <c r="D8" s="1027"/>
    </row>
    <row r="9" spans="1:14" ht="10.5" customHeight="1">
      <c r="A9" s="1013">
        <v>113</v>
      </c>
      <c r="B9" s="1028" t="s">
        <v>374</v>
      </c>
      <c r="C9" s="1027" t="s">
        <v>371</v>
      </c>
      <c r="D9" s="1027"/>
    </row>
    <row r="10" spans="1:14" ht="10.5" customHeight="1">
      <c r="A10" s="1013">
        <v>114</v>
      </c>
      <c r="B10" s="1014" t="s">
        <v>375</v>
      </c>
      <c r="C10" s="1027" t="s">
        <v>371</v>
      </c>
      <c r="D10" s="1027"/>
    </row>
    <row r="11" spans="1:14" ht="10.5" customHeight="1">
      <c r="A11" s="1013">
        <v>115</v>
      </c>
      <c r="B11" s="1028" t="s">
        <v>376</v>
      </c>
      <c r="C11" s="1027" t="s">
        <v>371</v>
      </c>
      <c r="D11" s="1027"/>
    </row>
    <row r="12" spans="1:14" ht="10.5" customHeight="1">
      <c r="A12" s="1013">
        <v>116</v>
      </c>
      <c r="B12" s="1014" t="s">
        <v>377</v>
      </c>
      <c r="C12" s="1027" t="s">
        <v>371</v>
      </c>
      <c r="D12" s="1027"/>
    </row>
    <row r="13" spans="1:14" ht="10.5" customHeight="1">
      <c r="A13" s="1013">
        <v>120</v>
      </c>
      <c r="B13" s="1026" t="s">
        <v>378</v>
      </c>
      <c r="C13" s="1027" t="s">
        <v>0</v>
      </c>
      <c r="D13" s="1027">
        <v>20</v>
      </c>
    </row>
    <row r="14" spans="1:14" ht="10.5" customHeight="1">
      <c r="A14" s="1013">
        <v>121</v>
      </c>
      <c r="B14" s="1028" t="s">
        <v>379</v>
      </c>
      <c r="C14" s="1027" t="s">
        <v>0</v>
      </c>
      <c r="D14" s="1027">
        <v>20</v>
      </c>
    </row>
    <row r="15" spans="1:14" ht="10.5" customHeight="1">
      <c r="A15" s="1013">
        <v>122</v>
      </c>
      <c r="B15" s="1014" t="s">
        <v>380</v>
      </c>
      <c r="C15" s="1027" t="s">
        <v>0</v>
      </c>
      <c r="D15" s="1027">
        <v>20</v>
      </c>
    </row>
    <row r="16" spans="1:14" ht="10.5" customHeight="1">
      <c r="A16" s="1013">
        <v>123</v>
      </c>
      <c r="B16" s="1028" t="s">
        <v>381</v>
      </c>
      <c r="C16" s="1027" t="s">
        <v>0</v>
      </c>
      <c r="D16" s="1027">
        <v>20</v>
      </c>
    </row>
    <row r="17" spans="1:4" ht="10.5" customHeight="1">
      <c r="A17" s="1013">
        <v>130</v>
      </c>
      <c r="B17" s="1026" t="s">
        <v>382</v>
      </c>
      <c r="C17" s="1027"/>
      <c r="D17" s="1027"/>
    </row>
    <row r="18" spans="1:4" ht="10.5" customHeight="1">
      <c r="A18" s="1013">
        <v>131</v>
      </c>
      <c r="B18" s="1028" t="s">
        <v>383</v>
      </c>
      <c r="C18" s="1027" t="s">
        <v>0</v>
      </c>
      <c r="D18" s="1027">
        <v>20</v>
      </c>
    </row>
    <row r="19" spans="1:4" ht="10.5" customHeight="1">
      <c r="A19" s="1013">
        <v>132</v>
      </c>
      <c r="B19" s="1028" t="s">
        <v>384</v>
      </c>
      <c r="C19" s="1027" t="s">
        <v>371</v>
      </c>
      <c r="D19" s="1027"/>
    </row>
    <row r="20" spans="1:4" ht="10.5" customHeight="1">
      <c r="A20" s="1013">
        <v>133</v>
      </c>
      <c r="B20" s="1028" t="s">
        <v>385</v>
      </c>
      <c r="C20" s="1027" t="s">
        <v>0</v>
      </c>
      <c r="D20" s="1027">
        <v>20</v>
      </c>
    </row>
    <row r="21" spans="1:4" ht="10.5" customHeight="1">
      <c r="A21" s="1013">
        <v>134</v>
      </c>
      <c r="B21" s="1028" t="s">
        <v>386</v>
      </c>
      <c r="C21" s="1027" t="s">
        <v>371</v>
      </c>
      <c r="D21" s="1027"/>
    </row>
    <row r="22" spans="1:4" ht="10.5" customHeight="1">
      <c r="A22" s="1013">
        <v>135</v>
      </c>
      <c r="B22" s="1028" t="s">
        <v>387</v>
      </c>
      <c r="C22" s="1027" t="s">
        <v>0</v>
      </c>
      <c r="D22" s="1027">
        <v>20</v>
      </c>
    </row>
    <row r="23" spans="1:4" ht="10.5" customHeight="1">
      <c r="A23" s="1013">
        <v>140</v>
      </c>
      <c r="B23" s="1026" t="s">
        <v>388</v>
      </c>
      <c r="C23" s="1027"/>
      <c r="D23" s="1027"/>
    </row>
    <row r="24" spans="1:4" ht="10.5" customHeight="1">
      <c r="A24" s="1013">
        <v>141</v>
      </c>
      <c r="B24" s="1028" t="s">
        <v>389</v>
      </c>
      <c r="C24" s="1027" t="s">
        <v>0</v>
      </c>
      <c r="D24" s="1027">
        <v>20</v>
      </c>
    </row>
    <row r="25" spans="1:4" ht="10.5" customHeight="1">
      <c r="A25" s="1013">
        <v>142</v>
      </c>
      <c r="B25" s="1014" t="s">
        <v>390</v>
      </c>
      <c r="C25" s="1027" t="s">
        <v>371</v>
      </c>
      <c r="D25" s="1027"/>
    </row>
    <row r="26" spans="1:4" ht="10.5" customHeight="1">
      <c r="A26" s="1013">
        <v>143</v>
      </c>
      <c r="B26" s="1028" t="s">
        <v>391</v>
      </c>
      <c r="C26" s="1027" t="s">
        <v>0</v>
      </c>
      <c r="D26" s="1027">
        <v>20</v>
      </c>
    </row>
    <row r="27" spans="1:4" ht="10.5" customHeight="1">
      <c r="A27" s="1013">
        <v>150</v>
      </c>
      <c r="B27" s="1026" t="s">
        <v>392</v>
      </c>
      <c r="C27" s="1027" t="s">
        <v>371</v>
      </c>
      <c r="D27" s="1027"/>
    </row>
    <row r="28" spans="1:4" ht="10.5" customHeight="1">
      <c r="A28" s="1013">
        <v>151</v>
      </c>
      <c r="B28" s="1028" t="s">
        <v>393</v>
      </c>
      <c r="C28" s="1027" t="s">
        <v>371</v>
      </c>
      <c r="D28" s="1027"/>
    </row>
    <row r="29" spans="1:4" ht="10.5" customHeight="1">
      <c r="A29" s="1013">
        <v>152</v>
      </c>
      <c r="B29" s="1014" t="s">
        <v>394</v>
      </c>
      <c r="C29" s="1027" t="s">
        <v>371</v>
      </c>
      <c r="D29" s="1027"/>
    </row>
    <row r="30" spans="1:4" ht="10.5" customHeight="1">
      <c r="A30" s="1013">
        <v>153</v>
      </c>
      <c r="B30" s="1028" t="s">
        <v>395</v>
      </c>
      <c r="C30" s="1027" t="s">
        <v>371</v>
      </c>
      <c r="D30" s="1027"/>
    </row>
    <row r="31" spans="1:4" s="1032" customFormat="1" ht="4.5" customHeight="1">
      <c r="A31" s="1029"/>
      <c r="B31" s="908"/>
      <c r="C31" s="1030"/>
      <c r="D31" s="1031"/>
    </row>
    <row r="32" spans="1:4">
      <c r="A32" s="1023"/>
      <c r="B32" s="1024" t="s">
        <v>396</v>
      </c>
      <c r="C32" s="1024"/>
      <c r="D32" s="1024"/>
    </row>
    <row r="33" spans="1:4" ht="10.5" customHeight="1">
      <c r="A33" s="1013">
        <v>210</v>
      </c>
      <c r="B33" s="1026" t="s">
        <v>397</v>
      </c>
      <c r="C33" s="1027" t="s">
        <v>0</v>
      </c>
      <c r="D33" s="1027">
        <v>20</v>
      </c>
    </row>
    <row r="34" spans="1:4" ht="10.5" customHeight="1">
      <c r="A34" s="1013">
        <v>211</v>
      </c>
      <c r="B34" s="1028" t="s">
        <v>398</v>
      </c>
      <c r="C34" s="1027" t="s">
        <v>0</v>
      </c>
      <c r="D34" s="1027">
        <v>20</v>
      </c>
    </row>
    <row r="35" spans="1:4" ht="10.5" customHeight="1">
      <c r="A35" s="1013">
        <v>212</v>
      </c>
      <c r="B35" s="1028" t="s">
        <v>399</v>
      </c>
      <c r="C35" s="1027" t="s">
        <v>0</v>
      </c>
      <c r="D35" s="1027">
        <v>20</v>
      </c>
    </row>
    <row r="36" spans="1:4" ht="10.5" customHeight="1">
      <c r="A36" s="1013">
        <v>213</v>
      </c>
      <c r="B36" s="1028" t="s">
        <v>400</v>
      </c>
      <c r="C36" s="1027" t="s">
        <v>0</v>
      </c>
      <c r="D36" s="1027">
        <v>20</v>
      </c>
    </row>
    <row r="37" spans="1:4" ht="10.5" customHeight="1">
      <c r="A37" s="1013">
        <v>214</v>
      </c>
      <c r="B37" s="1028" t="s">
        <v>401</v>
      </c>
      <c r="C37" s="1027" t="s">
        <v>0</v>
      </c>
      <c r="D37" s="1027">
        <v>20</v>
      </c>
    </row>
    <row r="38" spans="1:4" ht="10.5" customHeight="1">
      <c r="A38" s="1013">
        <v>215</v>
      </c>
      <c r="B38" s="1028" t="s">
        <v>402</v>
      </c>
      <c r="C38" s="1027" t="s">
        <v>0</v>
      </c>
      <c r="D38" s="1027">
        <v>20</v>
      </c>
    </row>
    <row r="39" spans="1:4" ht="10.5" customHeight="1">
      <c r="A39" s="1013">
        <v>216</v>
      </c>
      <c r="B39" s="1028" t="s">
        <v>403</v>
      </c>
      <c r="C39" s="1027" t="s">
        <v>0</v>
      </c>
      <c r="D39" s="1027">
        <v>20</v>
      </c>
    </row>
    <row r="40" spans="1:4" ht="10.5" customHeight="1">
      <c r="A40" s="1013">
        <v>220</v>
      </c>
      <c r="B40" s="1026" t="s">
        <v>404</v>
      </c>
      <c r="C40" s="1027" t="s">
        <v>0</v>
      </c>
      <c r="D40" s="1027">
        <v>20</v>
      </c>
    </row>
    <row r="41" spans="1:4" ht="10.5" customHeight="1">
      <c r="A41" s="1013">
        <v>221</v>
      </c>
      <c r="B41" s="1028" t="s">
        <v>405</v>
      </c>
      <c r="C41" s="1027" t="s">
        <v>0</v>
      </c>
      <c r="D41" s="1027">
        <v>20</v>
      </c>
    </row>
    <row r="42" spans="1:4" ht="10.5" customHeight="1">
      <c r="A42" s="1013">
        <v>222</v>
      </c>
      <c r="B42" s="1028" t="s">
        <v>406</v>
      </c>
      <c r="C42" s="1027" t="s">
        <v>0</v>
      </c>
      <c r="D42" s="1027">
        <v>20</v>
      </c>
    </row>
    <row r="43" spans="1:4" ht="10.5" customHeight="1">
      <c r="A43" s="1013">
        <v>230</v>
      </c>
      <c r="B43" s="1026" t="s">
        <v>407</v>
      </c>
      <c r="C43" s="1027" t="s">
        <v>0</v>
      </c>
      <c r="D43" s="1027">
        <v>20</v>
      </c>
    </row>
    <row r="44" spans="1:4" ht="10.5" customHeight="1">
      <c r="A44" s="1013">
        <v>231</v>
      </c>
      <c r="B44" s="1028" t="s">
        <v>408</v>
      </c>
      <c r="C44" s="1027" t="s">
        <v>0</v>
      </c>
      <c r="D44" s="1027">
        <v>20</v>
      </c>
    </row>
    <row r="45" spans="1:4" ht="10.5" customHeight="1">
      <c r="A45" s="1013">
        <v>232</v>
      </c>
      <c r="B45" s="1028" t="s">
        <v>409</v>
      </c>
      <c r="C45" s="1027" t="s">
        <v>0</v>
      </c>
      <c r="D45" s="1027">
        <v>20</v>
      </c>
    </row>
    <row r="46" spans="1:4" ht="10.5" customHeight="1">
      <c r="A46" s="1013">
        <v>233</v>
      </c>
      <c r="B46" s="1028" t="s">
        <v>410</v>
      </c>
      <c r="C46" s="1027" t="s">
        <v>0</v>
      </c>
      <c r="D46" s="1027">
        <v>20</v>
      </c>
    </row>
    <row r="47" spans="1:4" ht="10.5" customHeight="1">
      <c r="A47" s="1013">
        <v>240</v>
      </c>
      <c r="B47" s="1026" t="s">
        <v>411</v>
      </c>
      <c r="C47" s="1027" t="s">
        <v>0</v>
      </c>
      <c r="D47" s="1027">
        <v>20</v>
      </c>
    </row>
    <row r="48" spans="1:4" ht="10.5" customHeight="1">
      <c r="A48" s="1013">
        <v>241</v>
      </c>
      <c r="B48" s="1028" t="s">
        <v>412</v>
      </c>
      <c r="C48" s="1027" t="s">
        <v>0</v>
      </c>
      <c r="D48" s="1027">
        <v>20</v>
      </c>
    </row>
    <row r="49" spans="1:4" ht="10.5" customHeight="1">
      <c r="A49" s="1013">
        <v>242</v>
      </c>
      <c r="B49" s="1014" t="s">
        <v>413</v>
      </c>
      <c r="C49" s="1027" t="s">
        <v>0</v>
      </c>
      <c r="D49" s="1027">
        <v>20</v>
      </c>
    </row>
    <row r="50" spans="1:4" ht="10.5" customHeight="1">
      <c r="A50" s="1013">
        <v>250</v>
      </c>
      <c r="B50" s="1026" t="s">
        <v>414</v>
      </c>
      <c r="C50" s="1027" t="s">
        <v>0</v>
      </c>
      <c r="D50" s="1027">
        <v>20</v>
      </c>
    </row>
    <row r="51" spans="1:4" ht="10.5" customHeight="1">
      <c r="A51" s="1013">
        <v>251</v>
      </c>
      <c r="B51" s="1028" t="s">
        <v>415</v>
      </c>
      <c r="C51" s="1027" t="s">
        <v>0</v>
      </c>
      <c r="D51" s="1027">
        <v>20</v>
      </c>
    </row>
    <row r="52" spans="1:4" ht="10.5" customHeight="1">
      <c r="A52" s="1013">
        <v>252</v>
      </c>
      <c r="B52" s="1014" t="s">
        <v>416</v>
      </c>
      <c r="C52" s="1027" t="s">
        <v>0</v>
      </c>
      <c r="D52" s="1027">
        <v>20</v>
      </c>
    </row>
    <row r="53" spans="1:4" ht="10.5" customHeight="1">
      <c r="A53" s="1013">
        <v>253</v>
      </c>
      <c r="B53" s="1014" t="s">
        <v>417</v>
      </c>
      <c r="C53" s="1027" t="s">
        <v>0</v>
      </c>
      <c r="D53" s="1027">
        <v>20</v>
      </c>
    </row>
    <row r="54" spans="1:4" ht="10.5" customHeight="1">
      <c r="A54" s="1013">
        <v>260</v>
      </c>
      <c r="B54" s="1026" t="s">
        <v>418</v>
      </c>
      <c r="C54" s="1027" t="s">
        <v>0</v>
      </c>
      <c r="D54" s="1027">
        <v>20</v>
      </c>
    </row>
    <row r="55" spans="1:4" ht="10.5" customHeight="1">
      <c r="A55" s="1013">
        <v>261</v>
      </c>
      <c r="B55" s="1028" t="s">
        <v>419</v>
      </c>
      <c r="C55" s="1027" t="s">
        <v>0</v>
      </c>
      <c r="D55" s="1027">
        <v>20</v>
      </c>
    </row>
    <row r="56" spans="1:4" ht="10.5" customHeight="1">
      <c r="A56" s="1013">
        <v>263</v>
      </c>
      <c r="B56" s="1028" t="s">
        <v>420</v>
      </c>
      <c r="C56" s="1027" t="s">
        <v>0</v>
      </c>
      <c r="D56" s="1027">
        <v>20</v>
      </c>
    </row>
    <row r="57" spans="1:4" ht="10.5" customHeight="1">
      <c r="A57" s="1013">
        <v>264</v>
      </c>
      <c r="B57" s="1028" t="s">
        <v>421</v>
      </c>
      <c r="C57" s="1027" t="s">
        <v>0</v>
      </c>
      <c r="D57" s="1027">
        <v>20</v>
      </c>
    </row>
    <row r="58" spans="1:4" ht="10.5" customHeight="1">
      <c r="A58" s="1033">
        <v>265</v>
      </c>
      <c r="B58" s="1034" t="s">
        <v>422</v>
      </c>
      <c r="C58" s="1035" t="s">
        <v>423</v>
      </c>
      <c r="D58" s="1036"/>
    </row>
    <row r="59" spans="1:4" ht="10.5" customHeight="1">
      <c r="A59" s="1033">
        <v>266</v>
      </c>
      <c r="B59" s="1034" t="s">
        <v>424</v>
      </c>
      <c r="C59" s="1035" t="s">
        <v>423</v>
      </c>
      <c r="D59" s="1036"/>
    </row>
    <row r="60" spans="1:4" ht="10.5" customHeight="1">
      <c r="A60" s="1033">
        <v>267</v>
      </c>
      <c r="B60" s="1034" t="s">
        <v>425</v>
      </c>
      <c r="C60" s="1035" t="s">
        <v>423</v>
      </c>
      <c r="D60" s="1036"/>
    </row>
    <row r="61" spans="1:4" ht="10.5" customHeight="1">
      <c r="A61" s="1033">
        <v>268</v>
      </c>
      <c r="B61" s="1034" t="s">
        <v>426</v>
      </c>
      <c r="C61" s="1035" t="s">
        <v>427</v>
      </c>
      <c r="D61" s="1036"/>
    </row>
    <row r="62" spans="1:4" ht="10.5" customHeight="1">
      <c r="A62" s="1033">
        <v>269</v>
      </c>
      <c r="B62" s="1034" t="s">
        <v>428</v>
      </c>
      <c r="C62" s="1035" t="s">
        <v>427</v>
      </c>
      <c r="D62" s="1036"/>
    </row>
    <row r="63" spans="1:4" ht="10.5" customHeight="1">
      <c r="A63" s="1013">
        <v>270</v>
      </c>
      <c r="B63" s="1026" t="s">
        <v>429</v>
      </c>
      <c r="C63" s="1027" t="s">
        <v>0</v>
      </c>
      <c r="D63" s="1027">
        <v>20</v>
      </c>
    </row>
    <row r="64" spans="1:4" ht="10.5" customHeight="1">
      <c r="A64" s="1013">
        <v>271</v>
      </c>
      <c r="B64" s="1028" t="s">
        <v>430</v>
      </c>
      <c r="C64" s="1027" t="s">
        <v>0</v>
      </c>
      <c r="D64" s="1027">
        <v>20</v>
      </c>
    </row>
    <row r="65" spans="1:7" ht="10.5" customHeight="1">
      <c r="A65" s="1013">
        <v>272</v>
      </c>
      <c r="B65" s="1028" t="s">
        <v>431</v>
      </c>
      <c r="C65" s="1027" t="s">
        <v>0</v>
      </c>
      <c r="D65" s="1027">
        <v>20</v>
      </c>
    </row>
    <row r="66" spans="1:7" ht="10.5" customHeight="1">
      <c r="A66" s="1013">
        <v>273</v>
      </c>
      <c r="B66" s="1028" t="s">
        <v>432</v>
      </c>
      <c r="C66" s="1027" t="s">
        <v>0</v>
      </c>
      <c r="D66" s="1027">
        <v>20</v>
      </c>
    </row>
    <row r="67" spans="1:7" ht="10.5" customHeight="1">
      <c r="A67" s="1013">
        <v>280</v>
      </c>
      <c r="B67" s="1026" t="s">
        <v>433</v>
      </c>
      <c r="C67" s="1027"/>
      <c r="D67" s="1027"/>
    </row>
    <row r="68" spans="1:7" ht="10.5" customHeight="1">
      <c r="A68" s="1013">
        <v>281</v>
      </c>
      <c r="B68" s="1028" t="s">
        <v>434</v>
      </c>
      <c r="C68" s="1027" t="s">
        <v>0</v>
      </c>
      <c r="D68" s="1027">
        <v>20</v>
      </c>
    </row>
    <row r="69" spans="1:7" ht="10.5" customHeight="1">
      <c r="A69" s="1013">
        <v>282</v>
      </c>
      <c r="B69" s="1028" t="s">
        <v>435</v>
      </c>
      <c r="C69" s="1027" t="s">
        <v>1</v>
      </c>
      <c r="D69" s="1027">
        <v>30</v>
      </c>
    </row>
    <row r="70" spans="1:7" ht="10.5" customHeight="1">
      <c r="A70" s="1033">
        <v>283</v>
      </c>
      <c r="B70" s="1034" t="s">
        <v>436</v>
      </c>
      <c r="C70" s="1037" t="s">
        <v>423</v>
      </c>
      <c r="D70" s="1027"/>
    </row>
    <row r="71" spans="1:7" ht="10.5" customHeight="1">
      <c r="A71" s="1033">
        <v>284</v>
      </c>
      <c r="B71" s="1034" t="s">
        <v>437</v>
      </c>
      <c r="C71" s="1037" t="s">
        <v>423</v>
      </c>
      <c r="D71" s="1027"/>
    </row>
    <row r="72" spans="1:7">
      <c r="A72" s="1033">
        <v>285</v>
      </c>
      <c r="B72" s="1034" t="s">
        <v>438</v>
      </c>
      <c r="C72" s="1035" t="s">
        <v>423</v>
      </c>
      <c r="D72" s="1027"/>
    </row>
    <row r="73" spans="1:7" s="1032" customFormat="1" ht="4.5" customHeight="1">
      <c r="A73" s="1029"/>
      <c r="B73" s="908"/>
      <c r="C73" s="1030"/>
      <c r="D73" s="1031"/>
      <c r="G73" s="940"/>
    </row>
    <row r="74" spans="1:7">
      <c r="A74" s="1023"/>
      <c r="B74" s="1024" t="s">
        <v>439</v>
      </c>
      <c r="C74" s="1024"/>
      <c r="D74" s="1024"/>
    </row>
    <row r="75" spans="1:7" ht="10.5" customHeight="1">
      <c r="A75" s="1013">
        <v>310</v>
      </c>
      <c r="B75" s="1026" t="s">
        <v>440</v>
      </c>
      <c r="C75" s="1027"/>
      <c r="D75" s="1027"/>
    </row>
    <row r="76" spans="1:7" ht="10.5" customHeight="1">
      <c r="A76" s="1013">
        <v>311</v>
      </c>
      <c r="B76" s="1028" t="s">
        <v>441</v>
      </c>
      <c r="C76" s="1027" t="s">
        <v>371</v>
      </c>
      <c r="D76" s="1038"/>
    </row>
    <row r="77" spans="1:7" ht="10.5" customHeight="1">
      <c r="A77" s="1013">
        <v>312</v>
      </c>
      <c r="B77" s="1028" t="s">
        <v>442</v>
      </c>
      <c r="C77" s="1027" t="s">
        <v>371</v>
      </c>
      <c r="D77" s="1038"/>
    </row>
    <row r="78" spans="1:7" ht="10.5" customHeight="1">
      <c r="A78" s="1013">
        <v>313</v>
      </c>
      <c r="B78" s="1028" t="s">
        <v>443</v>
      </c>
      <c r="C78" s="1027" t="s">
        <v>371</v>
      </c>
      <c r="D78" s="1038"/>
    </row>
    <row r="79" spans="1:7" ht="10.5" customHeight="1">
      <c r="A79" s="1013">
        <v>314</v>
      </c>
      <c r="B79" s="1028" t="s">
        <v>444</v>
      </c>
      <c r="C79" s="1027" t="s">
        <v>86</v>
      </c>
      <c r="D79" s="1027">
        <v>70</v>
      </c>
    </row>
    <row r="80" spans="1:7" ht="10.5" customHeight="1">
      <c r="A80" s="1013">
        <v>315</v>
      </c>
      <c r="B80" s="1028" t="s">
        <v>445</v>
      </c>
      <c r="C80" s="1027" t="s">
        <v>86</v>
      </c>
      <c r="D80" s="1027">
        <v>70</v>
      </c>
    </row>
    <row r="81" spans="1:4" ht="10.5" customHeight="1">
      <c r="A81" s="1013">
        <v>316</v>
      </c>
      <c r="B81" s="1028" t="s">
        <v>446</v>
      </c>
      <c r="C81" s="1027" t="s">
        <v>86</v>
      </c>
      <c r="D81" s="1027">
        <v>70</v>
      </c>
    </row>
    <row r="82" spans="1:4" ht="10.5" customHeight="1">
      <c r="A82" s="1013">
        <v>317</v>
      </c>
      <c r="B82" s="1028" t="s">
        <v>447</v>
      </c>
      <c r="C82" s="1027" t="s">
        <v>86</v>
      </c>
      <c r="D82" s="1027">
        <v>70</v>
      </c>
    </row>
    <row r="83" spans="1:4" ht="10.5" customHeight="1">
      <c r="A83" s="1013">
        <v>318</v>
      </c>
      <c r="B83" s="1028" t="s">
        <v>448</v>
      </c>
      <c r="C83" s="1027" t="s">
        <v>86</v>
      </c>
      <c r="D83" s="1027">
        <v>70</v>
      </c>
    </row>
    <row r="84" spans="1:4" ht="10.5" customHeight="1">
      <c r="A84" s="1013">
        <v>320</v>
      </c>
      <c r="B84" s="1026" t="s">
        <v>449</v>
      </c>
      <c r="C84" s="1027" t="s">
        <v>159</v>
      </c>
      <c r="D84" s="1027">
        <v>80</v>
      </c>
    </row>
    <row r="85" spans="1:4" ht="10.5" customHeight="1">
      <c r="A85" s="1013">
        <v>321</v>
      </c>
      <c r="B85" s="1028" t="s">
        <v>450</v>
      </c>
      <c r="C85" s="1027" t="s">
        <v>159</v>
      </c>
      <c r="D85" s="1027">
        <v>80</v>
      </c>
    </row>
    <row r="86" spans="1:4" ht="10.5" customHeight="1">
      <c r="A86" s="1013">
        <v>322</v>
      </c>
      <c r="B86" s="1028" t="s">
        <v>451</v>
      </c>
      <c r="C86" s="1027" t="s">
        <v>159</v>
      </c>
      <c r="D86" s="1027">
        <v>80</v>
      </c>
    </row>
    <row r="87" spans="1:4" ht="10.5" customHeight="1">
      <c r="A87" s="1013">
        <v>323</v>
      </c>
      <c r="B87" s="1028" t="s">
        <v>452</v>
      </c>
      <c r="C87" s="1027" t="s">
        <v>159</v>
      </c>
      <c r="D87" s="1027">
        <v>80</v>
      </c>
    </row>
    <row r="88" spans="1:4" ht="10.5" customHeight="1">
      <c r="A88" s="1013">
        <v>324</v>
      </c>
      <c r="B88" s="1028" t="s">
        <v>453</v>
      </c>
      <c r="C88" s="1027" t="s">
        <v>159</v>
      </c>
      <c r="D88" s="1027">
        <v>80</v>
      </c>
    </row>
    <row r="89" spans="1:4" ht="10.5" customHeight="1">
      <c r="A89" s="1013">
        <v>325</v>
      </c>
      <c r="B89" s="1028" t="s">
        <v>454</v>
      </c>
      <c r="C89" s="1027" t="s">
        <v>159</v>
      </c>
      <c r="D89" s="1027">
        <v>80</v>
      </c>
    </row>
    <row r="90" spans="1:4" ht="10.5" customHeight="1">
      <c r="A90" s="1013">
        <v>326</v>
      </c>
      <c r="B90" s="1028" t="s">
        <v>455</v>
      </c>
      <c r="C90" s="1027" t="s">
        <v>159</v>
      </c>
      <c r="D90" s="1027">
        <v>80</v>
      </c>
    </row>
    <row r="91" spans="1:4" ht="10.5" customHeight="1">
      <c r="A91" s="1013">
        <v>327</v>
      </c>
      <c r="B91" s="1028" t="s">
        <v>456</v>
      </c>
      <c r="C91" s="1027" t="s">
        <v>159</v>
      </c>
      <c r="D91" s="1027">
        <v>80</v>
      </c>
    </row>
    <row r="92" spans="1:4" ht="10.5" customHeight="1">
      <c r="A92" s="1013">
        <v>328</v>
      </c>
      <c r="B92" s="1028" t="s">
        <v>457</v>
      </c>
      <c r="C92" s="1027" t="s">
        <v>159</v>
      </c>
      <c r="D92" s="1027">
        <v>80</v>
      </c>
    </row>
    <row r="93" spans="1:4" ht="10.5" customHeight="1">
      <c r="A93" s="1013">
        <v>329</v>
      </c>
      <c r="B93" s="1028" t="s">
        <v>458</v>
      </c>
      <c r="C93" s="1027" t="s">
        <v>159</v>
      </c>
      <c r="D93" s="1027">
        <v>80</v>
      </c>
    </row>
    <row r="94" spans="1:4" ht="10.5" customHeight="1">
      <c r="A94" s="1013">
        <v>330</v>
      </c>
      <c r="B94" s="1026" t="s">
        <v>459</v>
      </c>
      <c r="C94" s="1027" t="s">
        <v>1</v>
      </c>
      <c r="D94" s="1027">
        <v>30</v>
      </c>
    </row>
    <row r="95" spans="1:4" ht="10.5" customHeight="1">
      <c r="A95" s="1013">
        <v>331</v>
      </c>
      <c r="B95" s="1028" t="s">
        <v>460</v>
      </c>
      <c r="C95" s="1027" t="s">
        <v>1</v>
      </c>
      <c r="D95" s="1027">
        <v>30</v>
      </c>
    </row>
    <row r="96" spans="1:4" ht="10.5" customHeight="1">
      <c r="A96" s="1013">
        <v>332</v>
      </c>
      <c r="B96" s="1028" t="s">
        <v>461</v>
      </c>
      <c r="C96" s="1027" t="s">
        <v>1</v>
      </c>
      <c r="D96" s="1027">
        <v>30</v>
      </c>
    </row>
    <row r="97" spans="1:4" ht="10.5" customHeight="1">
      <c r="A97" s="1013">
        <v>333</v>
      </c>
      <c r="B97" s="1028" t="s">
        <v>462</v>
      </c>
      <c r="C97" s="1027" t="s">
        <v>1</v>
      </c>
      <c r="D97" s="1027">
        <v>30</v>
      </c>
    </row>
    <row r="98" spans="1:4" ht="10.5" customHeight="1">
      <c r="A98" s="1013">
        <v>334</v>
      </c>
      <c r="B98" s="1028" t="s">
        <v>463</v>
      </c>
      <c r="C98" s="1027" t="s">
        <v>1</v>
      </c>
      <c r="D98" s="1027">
        <v>30</v>
      </c>
    </row>
    <row r="99" spans="1:4" ht="10.5" customHeight="1">
      <c r="A99" s="1013">
        <v>335</v>
      </c>
      <c r="B99" s="1028" t="s">
        <v>464</v>
      </c>
      <c r="C99" s="1027" t="s">
        <v>1</v>
      </c>
      <c r="D99" s="1027">
        <v>30</v>
      </c>
    </row>
    <row r="100" spans="1:4" ht="10.5" customHeight="1">
      <c r="A100" s="1013">
        <v>336</v>
      </c>
      <c r="B100" s="1028" t="s">
        <v>465</v>
      </c>
      <c r="C100" s="1027" t="s">
        <v>1</v>
      </c>
      <c r="D100" s="1027">
        <v>30</v>
      </c>
    </row>
    <row r="101" spans="1:4" ht="10.5" customHeight="1">
      <c r="A101" s="1013">
        <v>337</v>
      </c>
      <c r="B101" s="1028" t="s">
        <v>466</v>
      </c>
      <c r="C101" s="1027" t="s">
        <v>1</v>
      </c>
      <c r="D101" s="1027">
        <v>30</v>
      </c>
    </row>
    <row r="102" spans="1:4" ht="10.5" customHeight="1">
      <c r="A102" s="1013">
        <v>338</v>
      </c>
      <c r="B102" s="1028" t="s">
        <v>467</v>
      </c>
      <c r="C102" s="1027" t="s">
        <v>1</v>
      </c>
      <c r="D102" s="1027">
        <v>30</v>
      </c>
    </row>
    <row r="103" spans="1:4" ht="10.5" customHeight="1">
      <c r="A103" s="1013">
        <v>340</v>
      </c>
      <c r="B103" s="1026" t="s">
        <v>468</v>
      </c>
      <c r="C103" s="1027" t="s">
        <v>1</v>
      </c>
      <c r="D103" s="1027">
        <v>30</v>
      </c>
    </row>
    <row r="104" spans="1:4" ht="10.5" customHeight="1">
      <c r="A104" s="1013">
        <v>341</v>
      </c>
      <c r="B104" s="1028" t="s">
        <v>469</v>
      </c>
      <c r="C104" s="1027" t="s">
        <v>1</v>
      </c>
      <c r="D104" s="1027">
        <v>30</v>
      </c>
    </row>
    <row r="105" spans="1:4" ht="10.5" customHeight="1">
      <c r="A105" s="1013">
        <v>342</v>
      </c>
      <c r="B105" s="1028" t="s">
        <v>470</v>
      </c>
      <c r="C105" s="1027" t="s">
        <v>1</v>
      </c>
      <c r="D105" s="1027">
        <v>30</v>
      </c>
    </row>
    <row r="106" spans="1:4" ht="10.5" customHeight="1">
      <c r="A106" s="1013">
        <v>343</v>
      </c>
      <c r="B106" s="1028" t="s">
        <v>471</v>
      </c>
      <c r="C106" s="1027" t="s">
        <v>1</v>
      </c>
      <c r="D106" s="1027">
        <v>30</v>
      </c>
    </row>
    <row r="107" spans="1:4" ht="10.5" customHeight="1">
      <c r="A107" s="1013">
        <v>344</v>
      </c>
      <c r="B107" s="1028" t="s">
        <v>472</v>
      </c>
      <c r="C107" s="1027" t="s">
        <v>1</v>
      </c>
      <c r="D107" s="1027">
        <v>30</v>
      </c>
    </row>
    <row r="108" spans="1:4" ht="10.5" customHeight="1">
      <c r="A108" s="1013">
        <v>345</v>
      </c>
      <c r="B108" s="1028" t="s">
        <v>473</v>
      </c>
      <c r="C108" s="1027" t="s">
        <v>1</v>
      </c>
      <c r="D108" s="1027">
        <v>30</v>
      </c>
    </row>
    <row r="109" spans="1:4" ht="10.5" customHeight="1">
      <c r="A109" s="1013">
        <v>346</v>
      </c>
      <c r="B109" s="1028" t="s">
        <v>474</v>
      </c>
      <c r="C109" s="1027" t="s">
        <v>1</v>
      </c>
      <c r="D109" s="1027">
        <v>30</v>
      </c>
    </row>
    <row r="110" spans="1:4" ht="10.5" customHeight="1">
      <c r="A110" s="1013">
        <v>347</v>
      </c>
      <c r="B110" s="1028" t="s">
        <v>475</v>
      </c>
      <c r="C110" s="1027" t="s">
        <v>1</v>
      </c>
      <c r="D110" s="1027">
        <v>30</v>
      </c>
    </row>
    <row r="111" spans="1:4" ht="10.5" customHeight="1">
      <c r="A111" s="1013">
        <v>348</v>
      </c>
      <c r="B111" s="1028" t="s">
        <v>476</v>
      </c>
      <c r="C111" s="1027" t="s">
        <v>1</v>
      </c>
      <c r="D111" s="1027">
        <v>30</v>
      </c>
    </row>
    <row r="112" spans="1:4" ht="10.5" customHeight="1">
      <c r="A112" s="1013">
        <v>349</v>
      </c>
      <c r="B112" s="1028" t="s">
        <v>477</v>
      </c>
      <c r="C112" s="1027" t="s">
        <v>1</v>
      </c>
      <c r="D112" s="1027">
        <v>30</v>
      </c>
    </row>
    <row r="113" spans="1:4" ht="10.5" customHeight="1">
      <c r="A113" s="1013">
        <v>350</v>
      </c>
      <c r="B113" s="1026" t="s">
        <v>478</v>
      </c>
      <c r="C113" s="1027" t="s">
        <v>1</v>
      </c>
      <c r="D113" s="1027">
        <v>30</v>
      </c>
    </row>
    <row r="114" spans="1:4" ht="10.5" customHeight="1">
      <c r="A114" s="1013">
        <v>351</v>
      </c>
      <c r="B114" s="1028" t="s">
        <v>479</v>
      </c>
      <c r="C114" s="1027" t="s">
        <v>1</v>
      </c>
      <c r="D114" s="1027">
        <v>30</v>
      </c>
    </row>
    <row r="115" spans="1:4" ht="10.5" customHeight="1">
      <c r="A115" s="1013">
        <v>352</v>
      </c>
      <c r="B115" s="1028" t="s">
        <v>480</v>
      </c>
      <c r="C115" s="1027" t="s">
        <v>1</v>
      </c>
      <c r="D115" s="1027">
        <v>30</v>
      </c>
    </row>
    <row r="116" spans="1:4" ht="10.5" customHeight="1">
      <c r="A116" s="1013">
        <v>353</v>
      </c>
      <c r="B116" s="1028" t="s">
        <v>481</v>
      </c>
      <c r="C116" s="1027" t="s">
        <v>1</v>
      </c>
      <c r="D116" s="1027">
        <v>30</v>
      </c>
    </row>
    <row r="117" spans="1:4" ht="10.5" customHeight="1">
      <c r="A117" s="1013">
        <v>354</v>
      </c>
      <c r="B117" s="1028" t="s">
        <v>482</v>
      </c>
      <c r="C117" s="1027" t="s">
        <v>1</v>
      </c>
      <c r="D117" s="1027">
        <v>30</v>
      </c>
    </row>
    <row r="118" spans="1:4" ht="10.5" customHeight="1">
      <c r="A118" s="1013">
        <v>355</v>
      </c>
      <c r="B118" s="1028" t="s">
        <v>483</v>
      </c>
      <c r="C118" s="1027" t="s">
        <v>1</v>
      </c>
      <c r="D118" s="1027">
        <v>30</v>
      </c>
    </row>
    <row r="119" spans="1:4" ht="10.5" customHeight="1">
      <c r="A119" s="1013">
        <v>356</v>
      </c>
      <c r="B119" s="1028" t="s">
        <v>484</v>
      </c>
      <c r="C119" s="1027" t="s">
        <v>1</v>
      </c>
      <c r="D119" s="1027">
        <v>30</v>
      </c>
    </row>
    <row r="120" spans="1:4" ht="10.5" customHeight="1">
      <c r="A120" s="1013">
        <v>357</v>
      </c>
      <c r="B120" s="1028" t="s">
        <v>485</v>
      </c>
      <c r="C120" s="1027" t="s">
        <v>1</v>
      </c>
      <c r="D120" s="1027">
        <v>30</v>
      </c>
    </row>
    <row r="121" spans="1:4" ht="10.5" customHeight="1">
      <c r="A121" s="1013">
        <v>358</v>
      </c>
      <c r="B121" s="1028" t="s">
        <v>486</v>
      </c>
      <c r="C121" s="1027" t="s">
        <v>1</v>
      </c>
      <c r="D121" s="1027">
        <v>30</v>
      </c>
    </row>
    <row r="122" spans="1:4" ht="10.5" customHeight="1">
      <c r="A122" s="1013">
        <v>359</v>
      </c>
      <c r="B122" s="1028" t="s">
        <v>487</v>
      </c>
      <c r="C122" s="1027" t="s">
        <v>1</v>
      </c>
      <c r="D122" s="1027">
        <v>30</v>
      </c>
    </row>
    <row r="123" spans="1:4">
      <c r="A123" s="1039">
        <v>360</v>
      </c>
      <c r="B123" s="1040" t="s">
        <v>488</v>
      </c>
      <c r="C123" s="1041" t="s">
        <v>489</v>
      </c>
      <c r="D123" s="1042">
        <v>30</v>
      </c>
    </row>
    <row r="124" spans="1:4">
      <c r="A124" s="1039">
        <v>361</v>
      </c>
      <c r="B124" s="1043" t="s">
        <v>490</v>
      </c>
      <c r="C124" s="1041" t="s">
        <v>489</v>
      </c>
      <c r="D124" s="1042">
        <v>30</v>
      </c>
    </row>
    <row r="125" spans="1:4">
      <c r="A125" s="1039">
        <v>362</v>
      </c>
      <c r="B125" s="1043" t="s">
        <v>491</v>
      </c>
      <c r="C125" s="1041" t="s">
        <v>489</v>
      </c>
      <c r="D125" s="1042">
        <v>30</v>
      </c>
    </row>
    <row r="126" spans="1:4">
      <c r="A126" s="1039">
        <v>363</v>
      </c>
      <c r="B126" s="1043" t="s">
        <v>492</v>
      </c>
      <c r="C126" s="1044" t="s">
        <v>489</v>
      </c>
      <c r="D126" s="1042">
        <v>30</v>
      </c>
    </row>
    <row r="127" spans="1:4">
      <c r="A127" s="1039">
        <v>364</v>
      </c>
      <c r="B127" s="1043" t="s">
        <v>493</v>
      </c>
      <c r="C127" s="1044" t="s">
        <v>489</v>
      </c>
      <c r="D127" s="1041">
        <v>30</v>
      </c>
    </row>
    <row r="128" spans="1:4">
      <c r="A128" s="1039">
        <v>365</v>
      </c>
      <c r="B128" s="1043" t="s">
        <v>494</v>
      </c>
      <c r="C128" s="1044" t="s">
        <v>489</v>
      </c>
      <c r="D128" s="1041">
        <v>30</v>
      </c>
    </row>
    <row r="129" spans="1:4">
      <c r="A129" s="1039">
        <v>366</v>
      </c>
      <c r="B129" s="1043" t="s">
        <v>495</v>
      </c>
      <c r="C129" s="1044" t="s">
        <v>489</v>
      </c>
      <c r="D129" s="1041">
        <v>30</v>
      </c>
    </row>
    <row r="130" spans="1:4">
      <c r="A130" s="1039">
        <v>367</v>
      </c>
      <c r="B130" s="1043" t="s">
        <v>496</v>
      </c>
      <c r="C130" s="1044" t="s">
        <v>489</v>
      </c>
      <c r="D130" s="1041">
        <v>30</v>
      </c>
    </row>
    <row r="131" spans="1:4">
      <c r="A131" s="1039">
        <v>368</v>
      </c>
      <c r="B131" s="1043" t="s">
        <v>497</v>
      </c>
      <c r="C131" s="1041" t="s">
        <v>489</v>
      </c>
      <c r="D131" s="1042">
        <v>30</v>
      </c>
    </row>
    <row r="132" spans="1:4" ht="10.5" customHeight="1">
      <c r="A132" s="1013">
        <v>370</v>
      </c>
      <c r="B132" s="1026" t="s">
        <v>498</v>
      </c>
      <c r="C132" s="1027"/>
      <c r="D132" s="1042"/>
    </row>
    <row r="133" spans="1:4">
      <c r="A133" s="1039">
        <v>371</v>
      </c>
      <c r="B133" s="1045" t="s">
        <v>499</v>
      </c>
      <c r="C133" s="1027" t="s">
        <v>371</v>
      </c>
      <c r="D133" s="1042"/>
    </row>
    <row r="134" spans="1:4">
      <c r="A134" s="1039">
        <v>372</v>
      </c>
      <c r="B134" s="1045" t="s">
        <v>500</v>
      </c>
      <c r="C134" s="1027" t="s">
        <v>371</v>
      </c>
      <c r="D134" s="1042"/>
    </row>
    <row r="135" spans="1:4" ht="23">
      <c r="A135" s="1039">
        <v>373</v>
      </c>
      <c r="B135" s="1045" t="s">
        <v>501</v>
      </c>
      <c r="C135" s="1046" t="s">
        <v>502</v>
      </c>
      <c r="D135" s="1047">
        <v>30</v>
      </c>
    </row>
    <row r="136" spans="1:4" ht="10.5" customHeight="1">
      <c r="A136" s="1013">
        <v>374</v>
      </c>
      <c r="B136" s="1028" t="s">
        <v>503</v>
      </c>
      <c r="C136" s="1048"/>
      <c r="D136" s="1042">
        <v>30</v>
      </c>
    </row>
    <row r="137" spans="1:4">
      <c r="A137" s="1039">
        <v>375</v>
      </c>
      <c r="B137" s="1043" t="s">
        <v>504</v>
      </c>
      <c r="C137" s="1041" t="s">
        <v>505</v>
      </c>
      <c r="D137" s="1042">
        <v>30</v>
      </c>
    </row>
    <row r="138" spans="1:4" ht="10.5" customHeight="1">
      <c r="A138" s="1013">
        <v>380</v>
      </c>
      <c r="B138" s="1026" t="s">
        <v>506</v>
      </c>
      <c r="C138" s="1027"/>
      <c r="D138" s="1027"/>
    </row>
    <row r="139" spans="1:4" ht="10.5" customHeight="1">
      <c r="A139" s="1013">
        <v>381</v>
      </c>
      <c r="B139" s="1028" t="s">
        <v>507</v>
      </c>
      <c r="C139" s="1027" t="s">
        <v>371</v>
      </c>
      <c r="D139" s="1038"/>
    </row>
    <row r="140" spans="1:4" ht="10.5" customHeight="1">
      <c r="A140" s="1013">
        <v>382</v>
      </c>
      <c r="B140" s="1028" t="s">
        <v>508</v>
      </c>
      <c r="C140" s="1027" t="s">
        <v>0</v>
      </c>
      <c r="D140" s="1027">
        <v>20</v>
      </c>
    </row>
    <row r="141" spans="1:4" ht="10.5" customHeight="1">
      <c r="A141" s="1013">
        <v>383</v>
      </c>
      <c r="B141" s="1028" t="s">
        <v>509</v>
      </c>
      <c r="C141" s="1027" t="s">
        <v>371</v>
      </c>
      <c r="D141" s="1038"/>
    </row>
    <row r="142" spans="1:4" ht="10.5" customHeight="1">
      <c r="A142" s="1013">
        <v>384</v>
      </c>
      <c r="B142" s="1028" t="s">
        <v>510</v>
      </c>
      <c r="C142" s="1027" t="s">
        <v>350</v>
      </c>
      <c r="D142" s="1027">
        <v>60</v>
      </c>
    </row>
    <row r="143" spans="1:4" ht="10.5" customHeight="1">
      <c r="A143" s="1013">
        <v>385</v>
      </c>
      <c r="B143" s="1028" t="s">
        <v>511</v>
      </c>
      <c r="C143" s="1027" t="s">
        <v>350</v>
      </c>
      <c r="D143" s="1027">
        <v>60</v>
      </c>
    </row>
    <row r="144" spans="1:4" ht="10.5" customHeight="1">
      <c r="A144" s="1013">
        <v>386</v>
      </c>
      <c r="B144" s="1028" t="s">
        <v>512</v>
      </c>
      <c r="C144" s="1027" t="s">
        <v>371</v>
      </c>
      <c r="D144" s="1038"/>
    </row>
    <row r="145" spans="1:4" ht="10.5" customHeight="1">
      <c r="A145" s="1013">
        <v>387</v>
      </c>
      <c r="B145" s="1028" t="s">
        <v>513</v>
      </c>
      <c r="C145" s="1027" t="s">
        <v>371</v>
      </c>
      <c r="D145" s="1038"/>
    </row>
    <row r="146" spans="1:4" ht="10.5" customHeight="1">
      <c r="A146" s="1013">
        <v>388</v>
      </c>
      <c r="B146" s="1028" t="s">
        <v>514</v>
      </c>
      <c r="C146" s="1027" t="s">
        <v>371</v>
      </c>
      <c r="D146" s="1038"/>
    </row>
    <row r="147" spans="1:4" ht="10.5" customHeight="1">
      <c r="A147" s="1013">
        <v>390</v>
      </c>
      <c r="B147" s="1026" t="s">
        <v>515</v>
      </c>
      <c r="C147" s="1027"/>
      <c r="D147" s="1049"/>
    </row>
    <row r="148" spans="1:4" ht="10.5" customHeight="1">
      <c r="A148" s="1013">
        <v>391</v>
      </c>
      <c r="B148" s="1028" t="s">
        <v>516</v>
      </c>
      <c r="C148" s="1027" t="s">
        <v>350</v>
      </c>
      <c r="D148" s="1027">
        <v>60</v>
      </c>
    </row>
    <row r="149" spans="1:4" ht="10.5" customHeight="1">
      <c r="A149" s="1013">
        <v>392</v>
      </c>
      <c r="B149" s="1028" t="s">
        <v>517</v>
      </c>
      <c r="C149" s="1027" t="s">
        <v>350</v>
      </c>
      <c r="D149" s="1027">
        <v>60</v>
      </c>
    </row>
    <row r="150" spans="1:4" ht="10.5" customHeight="1">
      <c r="A150" s="1013">
        <v>393</v>
      </c>
      <c r="B150" s="1028" t="s">
        <v>518</v>
      </c>
      <c r="C150" s="1027" t="s">
        <v>350</v>
      </c>
      <c r="D150" s="1027">
        <v>60</v>
      </c>
    </row>
    <row r="151" spans="1:4" ht="10.5" customHeight="1">
      <c r="A151" s="1013">
        <v>394</v>
      </c>
      <c r="B151" s="1028" t="s">
        <v>519</v>
      </c>
      <c r="C151" s="1027" t="s">
        <v>1</v>
      </c>
      <c r="D151" s="1027">
        <v>30</v>
      </c>
    </row>
    <row r="152" spans="1:4" ht="10.5" customHeight="1">
      <c r="A152" s="1013">
        <v>395</v>
      </c>
      <c r="B152" s="1028" t="s">
        <v>520</v>
      </c>
      <c r="C152" s="1027" t="s">
        <v>1</v>
      </c>
      <c r="D152" s="1027">
        <v>30</v>
      </c>
    </row>
    <row r="153" spans="1:4" ht="10.5" customHeight="1">
      <c r="A153" s="1013">
        <v>396</v>
      </c>
      <c r="B153" s="1028" t="s">
        <v>521</v>
      </c>
      <c r="C153" s="1027" t="s">
        <v>1</v>
      </c>
      <c r="D153" s="1027">
        <v>30</v>
      </c>
    </row>
    <row r="154" spans="1:4" ht="10.5" customHeight="1">
      <c r="A154" s="1013">
        <v>397</v>
      </c>
      <c r="B154" s="1028" t="s">
        <v>522</v>
      </c>
      <c r="C154" s="1027" t="s">
        <v>1</v>
      </c>
      <c r="D154" s="1027">
        <v>30</v>
      </c>
    </row>
    <row r="155" spans="1:4" ht="10.5" customHeight="1">
      <c r="A155" s="1013">
        <v>398</v>
      </c>
      <c r="B155" s="1028" t="s">
        <v>523</v>
      </c>
      <c r="C155" s="1027" t="s">
        <v>1</v>
      </c>
      <c r="D155" s="1027">
        <v>30</v>
      </c>
    </row>
    <row r="156" spans="1:4" ht="10.5" customHeight="1">
      <c r="A156" s="1013">
        <v>399</v>
      </c>
      <c r="B156" s="1028" t="s">
        <v>524</v>
      </c>
      <c r="C156" s="1027" t="s">
        <v>1</v>
      </c>
      <c r="D156" s="1027">
        <v>30</v>
      </c>
    </row>
    <row r="157" spans="1:4" s="1032" customFormat="1" ht="4.5" customHeight="1">
      <c r="A157" s="1029"/>
      <c r="B157" s="908"/>
      <c r="C157" s="1030"/>
      <c r="D157" s="1031"/>
    </row>
    <row r="158" spans="1:4">
      <c r="A158" s="1023"/>
      <c r="B158" s="1024" t="s">
        <v>525</v>
      </c>
      <c r="C158" s="1024"/>
      <c r="D158" s="1024"/>
    </row>
    <row r="159" spans="1:4" ht="10.5" customHeight="1">
      <c r="A159" s="1013">
        <v>410</v>
      </c>
      <c r="B159" s="1026" t="s">
        <v>526</v>
      </c>
      <c r="C159" s="1027" t="s">
        <v>20</v>
      </c>
      <c r="D159" s="1027">
        <v>40</v>
      </c>
    </row>
    <row r="160" spans="1:4" ht="10.5" customHeight="1">
      <c r="A160" s="1013">
        <v>411</v>
      </c>
      <c r="B160" s="1028" t="s">
        <v>527</v>
      </c>
      <c r="C160" s="1027" t="s">
        <v>20</v>
      </c>
      <c r="D160" s="1027">
        <v>40</v>
      </c>
    </row>
    <row r="161" spans="1:4" ht="10.5" customHeight="1">
      <c r="A161" s="1013">
        <v>412</v>
      </c>
      <c r="B161" s="1028" t="s">
        <v>528</v>
      </c>
      <c r="C161" s="1027" t="s">
        <v>20</v>
      </c>
      <c r="D161" s="1027">
        <v>40</v>
      </c>
    </row>
    <row r="162" spans="1:4" ht="10.5" customHeight="1">
      <c r="A162" s="1013">
        <v>413</v>
      </c>
      <c r="B162" s="1028" t="s">
        <v>529</v>
      </c>
      <c r="C162" s="1027" t="s">
        <v>20</v>
      </c>
      <c r="D162" s="1027">
        <v>40</v>
      </c>
    </row>
    <row r="163" spans="1:4" ht="10.5" customHeight="1">
      <c r="A163" s="1013">
        <v>414</v>
      </c>
      <c r="B163" s="1028" t="s">
        <v>530</v>
      </c>
      <c r="C163" s="1027" t="s">
        <v>20</v>
      </c>
      <c r="D163" s="1027">
        <v>40</v>
      </c>
    </row>
    <row r="164" spans="1:4" ht="10.5" customHeight="1">
      <c r="A164" s="1013">
        <v>415</v>
      </c>
      <c r="B164" s="1028" t="s">
        <v>531</v>
      </c>
      <c r="C164" s="1027" t="s">
        <v>20</v>
      </c>
      <c r="D164" s="1027">
        <v>40</v>
      </c>
    </row>
    <row r="165" spans="1:4" ht="10.5" customHeight="1">
      <c r="A165" s="1013">
        <v>416</v>
      </c>
      <c r="B165" s="1028" t="s">
        <v>532</v>
      </c>
      <c r="C165" s="1027" t="s">
        <v>20</v>
      </c>
      <c r="D165" s="1027">
        <v>40</v>
      </c>
    </row>
    <row r="166" spans="1:4" ht="10.5" customHeight="1">
      <c r="A166" s="1013">
        <v>417</v>
      </c>
      <c r="B166" s="1028" t="s">
        <v>533</v>
      </c>
      <c r="C166" s="1027" t="s">
        <v>20</v>
      </c>
      <c r="D166" s="1027">
        <v>40</v>
      </c>
    </row>
    <row r="167" spans="1:4" ht="10.5" customHeight="1">
      <c r="A167" s="1013">
        <v>418</v>
      </c>
      <c r="B167" s="1028" t="s">
        <v>534</v>
      </c>
      <c r="C167" s="1027" t="s">
        <v>20</v>
      </c>
      <c r="D167" s="1027">
        <v>40</v>
      </c>
    </row>
    <row r="168" spans="1:4" ht="10.5" customHeight="1">
      <c r="A168" s="1013">
        <v>420</v>
      </c>
      <c r="B168" s="1026" t="s">
        <v>535</v>
      </c>
      <c r="C168" s="1027"/>
      <c r="D168" s="1027"/>
    </row>
    <row r="169" spans="1:4" ht="10.5" customHeight="1">
      <c r="A169" s="1013">
        <v>421</v>
      </c>
      <c r="B169" s="1028" t="s">
        <v>536</v>
      </c>
      <c r="C169" s="1027" t="s">
        <v>20</v>
      </c>
      <c r="D169" s="1027">
        <v>40</v>
      </c>
    </row>
    <row r="170" spans="1:4" ht="10.5" customHeight="1">
      <c r="A170" s="1013">
        <v>422</v>
      </c>
      <c r="B170" s="1028" t="s">
        <v>537</v>
      </c>
      <c r="C170" s="1027" t="s">
        <v>20</v>
      </c>
      <c r="D170" s="1027">
        <v>40</v>
      </c>
    </row>
    <row r="171" spans="1:4" ht="10.5" customHeight="1">
      <c r="A171" s="1013">
        <v>423</v>
      </c>
      <c r="B171" s="1028" t="s">
        <v>538</v>
      </c>
      <c r="C171" s="1027" t="s">
        <v>371</v>
      </c>
      <c r="D171" s="1027"/>
    </row>
    <row r="172" spans="1:4" ht="10.5" customHeight="1">
      <c r="A172" s="1013">
        <v>424</v>
      </c>
      <c r="B172" s="1028" t="s">
        <v>539</v>
      </c>
      <c r="C172" s="1027" t="s">
        <v>35</v>
      </c>
      <c r="D172" s="1027">
        <v>54</v>
      </c>
    </row>
    <row r="173" spans="1:4" ht="10.5" customHeight="1">
      <c r="A173" s="1013">
        <v>425</v>
      </c>
      <c r="B173" s="1028" t="s">
        <v>540</v>
      </c>
      <c r="C173" s="1027" t="s">
        <v>35</v>
      </c>
      <c r="D173" s="1027">
        <v>54</v>
      </c>
    </row>
    <row r="174" spans="1:4" ht="10.5" customHeight="1">
      <c r="A174" s="1013">
        <v>430</v>
      </c>
      <c r="B174" s="1026" t="s">
        <v>541</v>
      </c>
      <c r="C174" s="1027" t="s">
        <v>20</v>
      </c>
      <c r="D174" s="1027">
        <v>40</v>
      </c>
    </row>
    <row r="175" spans="1:4" ht="10.5" customHeight="1">
      <c r="A175" s="1013">
        <v>431</v>
      </c>
      <c r="B175" s="1028" t="s">
        <v>542</v>
      </c>
      <c r="C175" s="1027" t="s">
        <v>20</v>
      </c>
      <c r="D175" s="1027">
        <v>40</v>
      </c>
    </row>
    <row r="176" spans="1:4" ht="10.5" customHeight="1">
      <c r="A176" s="1013">
        <v>432</v>
      </c>
      <c r="B176" s="1028" t="s">
        <v>543</v>
      </c>
      <c r="C176" s="1027" t="s">
        <v>20</v>
      </c>
      <c r="D176" s="1027">
        <v>40</v>
      </c>
    </row>
    <row r="177" spans="1:5" ht="10.5" customHeight="1">
      <c r="A177" s="1013">
        <v>433</v>
      </c>
      <c r="B177" s="1028" t="s">
        <v>544</v>
      </c>
      <c r="C177" s="1027" t="s">
        <v>20</v>
      </c>
      <c r="D177" s="1027">
        <v>40</v>
      </c>
    </row>
    <row r="178" spans="1:5" ht="10.5" customHeight="1">
      <c r="A178" s="1013">
        <v>434</v>
      </c>
      <c r="B178" s="1028" t="s">
        <v>545</v>
      </c>
      <c r="C178" s="1027" t="s">
        <v>20</v>
      </c>
      <c r="D178" s="1027">
        <v>40</v>
      </c>
    </row>
    <row r="179" spans="1:5" ht="10.5" customHeight="1">
      <c r="A179" s="1013">
        <v>440</v>
      </c>
      <c r="B179" s="1026" t="s">
        <v>546</v>
      </c>
      <c r="C179" s="1027"/>
      <c r="D179" s="1027"/>
    </row>
    <row r="180" spans="1:5" ht="10.5" customHeight="1">
      <c r="A180" s="1013">
        <v>441</v>
      </c>
      <c r="B180" s="1028" t="s">
        <v>547</v>
      </c>
      <c r="C180" s="1027" t="s">
        <v>0</v>
      </c>
      <c r="D180" s="1027">
        <v>20</v>
      </c>
    </row>
    <row r="181" spans="1:5" ht="10.5" customHeight="1">
      <c r="A181" s="1013">
        <v>442</v>
      </c>
      <c r="B181" s="1028" t="s">
        <v>548</v>
      </c>
      <c r="C181" s="1027" t="s">
        <v>0</v>
      </c>
      <c r="D181" s="1027">
        <v>20</v>
      </c>
    </row>
    <row r="182" spans="1:5" ht="10.5" customHeight="1">
      <c r="A182" s="1013">
        <v>443</v>
      </c>
      <c r="B182" s="1028" t="s">
        <v>549</v>
      </c>
      <c r="C182" s="1027" t="s">
        <v>0</v>
      </c>
      <c r="D182" s="1027">
        <v>20</v>
      </c>
    </row>
    <row r="183" spans="1:5" ht="10.5" customHeight="1">
      <c r="A183" s="1013">
        <v>444</v>
      </c>
      <c r="B183" s="1028" t="s">
        <v>550</v>
      </c>
      <c r="C183" s="1027" t="s">
        <v>0</v>
      </c>
      <c r="D183" s="1027">
        <v>20</v>
      </c>
    </row>
    <row r="184" spans="1:5" ht="10.5" customHeight="1">
      <c r="A184" s="1013">
        <v>445</v>
      </c>
      <c r="B184" s="1028" t="s">
        <v>551</v>
      </c>
      <c r="C184" s="1027" t="s">
        <v>159</v>
      </c>
      <c r="D184" s="1027">
        <v>80</v>
      </c>
    </row>
    <row r="185" spans="1:5" ht="10.5" customHeight="1">
      <c r="A185" s="1013">
        <v>450</v>
      </c>
      <c r="B185" s="1026" t="s">
        <v>552</v>
      </c>
      <c r="C185" s="1027"/>
      <c r="D185" s="1027"/>
    </row>
    <row r="186" spans="1:5" ht="10.5" customHeight="1">
      <c r="A186" s="1013">
        <v>451</v>
      </c>
      <c r="B186" s="1028" t="s">
        <v>553</v>
      </c>
      <c r="C186" s="1027" t="s">
        <v>371</v>
      </c>
      <c r="D186" s="1027"/>
    </row>
    <row r="187" spans="1:5" ht="10.5" customHeight="1">
      <c r="A187" s="1013">
        <v>452</v>
      </c>
      <c r="B187" s="1028" t="s">
        <v>554</v>
      </c>
      <c r="C187" s="1027" t="s">
        <v>371</v>
      </c>
      <c r="D187" s="1027"/>
    </row>
    <row r="188" spans="1:5" ht="10.5" customHeight="1">
      <c r="A188" s="1013">
        <v>453</v>
      </c>
      <c r="B188" s="1028" t="s">
        <v>555</v>
      </c>
      <c r="C188" s="1027" t="s">
        <v>556</v>
      </c>
      <c r="D188" s="1027"/>
    </row>
    <row r="189" spans="1:5" ht="10.5" customHeight="1">
      <c r="A189" s="1013">
        <v>454</v>
      </c>
      <c r="B189" s="1028" t="s">
        <v>557</v>
      </c>
      <c r="C189" s="1027" t="s">
        <v>556</v>
      </c>
      <c r="D189" s="1027"/>
    </row>
    <row r="190" spans="1:5" s="1032" customFormat="1" ht="4.5" customHeight="1">
      <c r="A190" s="1029"/>
      <c r="B190" s="908"/>
      <c r="C190" s="1030"/>
      <c r="D190" s="1031"/>
      <c r="E190" s="940"/>
    </row>
    <row r="191" spans="1:5">
      <c r="A191" s="1023"/>
      <c r="B191" s="1024" t="s">
        <v>558</v>
      </c>
      <c r="C191" s="1024"/>
      <c r="D191" s="1024"/>
    </row>
    <row r="192" spans="1:5" ht="10.5" customHeight="1">
      <c r="A192" s="1013">
        <v>510</v>
      </c>
      <c r="B192" s="1026" t="s">
        <v>559</v>
      </c>
      <c r="C192" s="1027" t="s">
        <v>560</v>
      </c>
      <c r="D192" s="1027">
        <v>50</v>
      </c>
    </row>
    <row r="193" spans="1:4" ht="10.5" customHeight="1">
      <c r="A193" s="1013">
        <v>511</v>
      </c>
      <c r="B193" s="1028" t="s">
        <v>561</v>
      </c>
      <c r="C193" s="1027" t="s">
        <v>560</v>
      </c>
      <c r="D193" s="1027">
        <v>50</v>
      </c>
    </row>
    <row r="194" spans="1:4" ht="10.5" customHeight="1">
      <c r="A194" s="1013">
        <v>512</v>
      </c>
      <c r="B194" s="1028" t="s">
        <v>562</v>
      </c>
      <c r="C194" s="1027" t="s">
        <v>560</v>
      </c>
      <c r="D194" s="1027">
        <v>50</v>
      </c>
    </row>
    <row r="195" spans="1:4" ht="10.5" customHeight="1">
      <c r="A195" s="1013">
        <v>513</v>
      </c>
      <c r="B195" s="1028" t="s">
        <v>563</v>
      </c>
      <c r="C195" s="1027" t="s">
        <v>560</v>
      </c>
      <c r="D195" s="1027">
        <v>50</v>
      </c>
    </row>
    <row r="196" spans="1:4" ht="10.5" customHeight="1">
      <c r="A196" s="1013">
        <v>514</v>
      </c>
      <c r="B196" s="1028" t="s">
        <v>564</v>
      </c>
      <c r="C196" s="1027" t="s">
        <v>560</v>
      </c>
      <c r="D196" s="1027">
        <v>50</v>
      </c>
    </row>
    <row r="197" spans="1:4" ht="10.5" customHeight="1">
      <c r="A197" s="1013">
        <v>520</v>
      </c>
      <c r="B197" s="1026" t="s">
        <v>565</v>
      </c>
      <c r="C197" s="1027"/>
      <c r="D197" s="1027"/>
    </row>
    <row r="198" spans="1:4" ht="10.5" customHeight="1">
      <c r="A198" s="1013">
        <v>521</v>
      </c>
      <c r="B198" s="1028" t="s">
        <v>566</v>
      </c>
      <c r="C198" s="1027" t="s">
        <v>560</v>
      </c>
      <c r="D198" s="1027">
        <v>50</v>
      </c>
    </row>
    <row r="199" spans="1:4" ht="10.5" customHeight="1">
      <c r="A199" s="1013">
        <v>522</v>
      </c>
      <c r="B199" s="1028" t="s">
        <v>567</v>
      </c>
      <c r="C199" s="1027" t="s">
        <v>560</v>
      </c>
      <c r="D199" s="1027">
        <v>50</v>
      </c>
    </row>
    <row r="200" spans="1:4" ht="10.5" customHeight="1">
      <c r="A200" s="1013">
        <v>523</v>
      </c>
      <c r="B200" s="1028" t="s">
        <v>568</v>
      </c>
      <c r="C200" s="1027" t="s">
        <v>560</v>
      </c>
      <c r="D200" s="1027">
        <v>55</v>
      </c>
    </row>
    <row r="201" spans="1:4" ht="10.5" customHeight="1">
      <c r="A201" s="1013">
        <v>524</v>
      </c>
      <c r="B201" s="1028" t="s">
        <v>569</v>
      </c>
      <c r="C201" s="1027" t="s">
        <v>560</v>
      </c>
      <c r="D201" s="1027">
        <v>50</v>
      </c>
    </row>
    <row r="202" spans="1:4" ht="10.5" customHeight="1">
      <c r="A202" s="1013">
        <v>525</v>
      </c>
      <c r="B202" s="1028" t="s">
        <v>570</v>
      </c>
      <c r="C202" s="1027" t="s">
        <v>350</v>
      </c>
      <c r="D202" s="1027">
        <v>60</v>
      </c>
    </row>
    <row r="203" spans="1:4" ht="10.5" customHeight="1">
      <c r="A203" s="1013">
        <v>526</v>
      </c>
      <c r="B203" s="1028" t="s">
        <v>571</v>
      </c>
      <c r="C203" s="1027" t="s">
        <v>1</v>
      </c>
      <c r="D203" s="1027">
        <v>30</v>
      </c>
    </row>
    <row r="204" spans="1:4" ht="10.5" customHeight="1">
      <c r="A204" s="1013">
        <v>527</v>
      </c>
      <c r="B204" s="1028" t="s">
        <v>572</v>
      </c>
      <c r="C204" s="1027" t="s">
        <v>350</v>
      </c>
      <c r="D204" s="1027">
        <v>60</v>
      </c>
    </row>
    <row r="205" spans="1:4" ht="10.5" customHeight="1">
      <c r="A205" s="1013">
        <v>530</v>
      </c>
      <c r="B205" s="1026" t="s">
        <v>573</v>
      </c>
      <c r="C205" s="1027"/>
      <c r="D205" s="1027"/>
    </row>
    <row r="206" spans="1:4" ht="10.5" customHeight="1">
      <c r="A206" s="1013">
        <v>531</v>
      </c>
      <c r="B206" s="1028" t="s">
        <v>574</v>
      </c>
      <c r="C206" s="1027" t="s">
        <v>350</v>
      </c>
      <c r="D206" s="1027">
        <v>60</v>
      </c>
    </row>
    <row r="207" spans="1:4" ht="10.5" customHeight="1">
      <c r="A207" s="1013">
        <v>532</v>
      </c>
      <c r="B207" s="1028" t="s">
        <v>575</v>
      </c>
      <c r="C207" s="1027" t="s">
        <v>350</v>
      </c>
      <c r="D207" s="1027">
        <v>60</v>
      </c>
    </row>
    <row r="208" spans="1:4" ht="10.5" customHeight="1">
      <c r="A208" s="1013">
        <v>533</v>
      </c>
      <c r="B208" s="1028" t="s">
        <v>576</v>
      </c>
      <c r="C208" s="1027" t="s">
        <v>350</v>
      </c>
      <c r="D208" s="1027">
        <v>60</v>
      </c>
    </row>
    <row r="209" spans="1:4" ht="10.5" customHeight="1">
      <c r="A209" s="1013">
        <v>534</v>
      </c>
      <c r="B209" s="1028" t="s">
        <v>577</v>
      </c>
      <c r="C209" s="1027" t="s">
        <v>350</v>
      </c>
      <c r="D209" s="1027">
        <v>60</v>
      </c>
    </row>
    <row r="210" spans="1:4" ht="10.5" customHeight="1">
      <c r="A210" s="1013">
        <v>535</v>
      </c>
      <c r="B210" s="1028" t="s">
        <v>578</v>
      </c>
      <c r="C210" s="1027" t="s">
        <v>350</v>
      </c>
      <c r="D210" s="1027">
        <v>60</v>
      </c>
    </row>
    <row r="211" spans="1:4" ht="10.5" customHeight="1">
      <c r="A211" s="1013">
        <v>536</v>
      </c>
      <c r="B211" s="1028" t="s">
        <v>579</v>
      </c>
      <c r="C211" s="1027" t="s">
        <v>350</v>
      </c>
      <c r="D211" s="1027">
        <v>60</v>
      </c>
    </row>
    <row r="212" spans="1:4" ht="10.5" customHeight="1">
      <c r="A212" s="1013">
        <v>540</v>
      </c>
      <c r="B212" s="1026" t="s">
        <v>580</v>
      </c>
      <c r="C212" s="1027"/>
      <c r="D212" s="1027"/>
    </row>
    <row r="213" spans="1:4" ht="10.5" customHeight="1">
      <c r="A213" s="1013">
        <v>541</v>
      </c>
      <c r="B213" s="1028" t="s">
        <v>581</v>
      </c>
      <c r="C213" s="1027" t="s">
        <v>35</v>
      </c>
      <c r="D213" s="1027">
        <v>54</v>
      </c>
    </row>
    <row r="214" spans="1:4" ht="10.5" customHeight="1">
      <c r="A214" s="1013">
        <v>542</v>
      </c>
      <c r="B214" s="1028" t="s">
        <v>582</v>
      </c>
      <c r="C214" s="1027" t="s">
        <v>560</v>
      </c>
      <c r="D214" s="1027">
        <v>55</v>
      </c>
    </row>
    <row r="215" spans="1:4" ht="10.5" customHeight="1">
      <c r="A215" s="1013">
        <v>543</v>
      </c>
      <c r="B215" s="1028" t="s">
        <v>583</v>
      </c>
      <c r="C215" s="1027" t="s">
        <v>35</v>
      </c>
      <c r="D215" s="1027">
        <v>54</v>
      </c>
    </row>
    <row r="216" spans="1:4" ht="10.5" customHeight="1">
      <c r="A216" s="1013">
        <v>544</v>
      </c>
      <c r="B216" s="1028" t="s">
        <v>584</v>
      </c>
      <c r="C216" s="1027" t="s">
        <v>35</v>
      </c>
      <c r="D216" s="1027">
        <v>54</v>
      </c>
    </row>
    <row r="217" spans="1:4" ht="10.5" customHeight="1">
      <c r="A217" s="1013">
        <v>545</v>
      </c>
      <c r="B217" s="1028" t="s">
        <v>585</v>
      </c>
      <c r="C217" s="1027" t="s">
        <v>35</v>
      </c>
      <c r="D217" s="1027">
        <v>54</v>
      </c>
    </row>
    <row r="218" spans="1:4" ht="10.5" customHeight="1">
      <c r="A218" s="1013">
        <v>550</v>
      </c>
      <c r="B218" s="1026" t="s">
        <v>586</v>
      </c>
      <c r="C218" s="1027" t="s">
        <v>371</v>
      </c>
      <c r="D218" s="1027"/>
    </row>
    <row r="219" spans="1:4" ht="10.5" customHeight="1">
      <c r="A219" s="1013">
        <v>551</v>
      </c>
      <c r="B219" s="1028" t="s">
        <v>587</v>
      </c>
      <c r="C219" s="1027" t="s">
        <v>371</v>
      </c>
      <c r="D219" s="1027"/>
    </row>
    <row r="220" spans="1:4" ht="10.5" customHeight="1">
      <c r="A220" s="1013">
        <v>552</v>
      </c>
      <c r="B220" s="1028" t="s">
        <v>588</v>
      </c>
      <c r="C220" s="1027" t="s">
        <v>371</v>
      </c>
      <c r="D220" s="1027"/>
    </row>
    <row r="221" spans="1:4" ht="10.5" customHeight="1">
      <c r="A221" s="1013">
        <v>553</v>
      </c>
      <c r="B221" s="1028" t="s">
        <v>589</v>
      </c>
      <c r="C221" s="1027" t="s">
        <v>371</v>
      </c>
      <c r="D221" s="1027"/>
    </row>
    <row r="222" spans="1:4" ht="10.5" customHeight="1">
      <c r="A222" s="1013">
        <v>554</v>
      </c>
      <c r="B222" s="1028" t="s">
        <v>590</v>
      </c>
      <c r="C222" s="1027" t="s">
        <v>371</v>
      </c>
      <c r="D222" s="1027"/>
    </row>
    <row r="223" spans="1:4" ht="10.5" customHeight="1">
      <c r="A223" s="1013">
        <v>555</v>
      </c>
      <c r="B223" s="1028" t="s">
        <v>591</v>
      </c>
      <c r="C223" s="1027" t="s">
        <v>371</v>
      </c>
      <c r="D223" s="1027"/>
    </row>
    <row r="224" spans="1:4" ht="10.5" customHeight="1">
      <c r="A224" s="1013">
        <v>556</v>
      </c>
      <c r="B224" s="1028" t="s">
        <v>592</v>
      </c>
      <c r="C224" s="1027" t="s">
        <v>371</v>
      </c>
      <c r="D224" s="1027"/>
    </row>
    <row r="225" spans="1:4" ht="10.5" customHeight="1">
      <c r="A225" s="1013">
        <v>557</v>
      </c>
      <c r="B225" s="1028" t="s">
        <v>593</v>
      </c>
      <c r="C225" s="1027" t="s">
        <v>371</v>
      </c>
      <c r="D225" s="1027"/>
    </row>
    <row r="226" spans="1:4" ht="10.5" customHeight="1">
      <c r="A226" s="1013">
        <v>558</v>
      </c>
      <c r="B226" s="1028" t="s">
        <v>594</v>
      </c>
      <c r="C226" s="1027" t="s">
        <v>371</v>
      </c>
      <c r="D226" s="1027"/>
    </row>
    <row r="227" spans="1:4" ht="10.5" customHeight="1">
      <c r="A227" s="1013">
        <v>559</v>
      </c>
      <c r="B227" s="1028" t="s">
        <v>595</v>
      </c>
      <c r="C227" s="1027" t="s">
        <v>371</v>
      </c>
      <c r="D227" s="1027"/>
    </row>
    <row r="228" spans="1:4">
      <c r="A228" s="1013">
        <v>560</v>
      </c>
      <c r="B228" s="1026" t="s">
        <v>596</v>
      </c>
      <c r="C228" s="1027"/>
      <c r="D228" s="1027"/>
    </row>
    <row r="229" spans="1:4" ht="23">
      <c r="A229" s="1039">
        <v>561</v>
      </c>
      <c r="B229" s="1043" t="s">
        <v>597</v>
      </c>
      <c r="C229" s="1050" t="s">
        <v>598</v>
      </c>
      <c r="D229" s="1051"/>
    </row>
    <row r="230" spans="1:4" ht="10.5" customHeight="1">
      <c r="A230" s="1013">
        <v>562</v>
      </c>
      <c r="B230" s="1028" t="s">
        <v>599</v>
      </c>
      <c r="C230" s="1027" t="s">
        <v>371</v>
      </c>
      <c r="D230" s="1027"/>
    </row>
    <row r="231" spans="1:4" ht="10.5" customHeight="1">
      <c r="A231" s="1013">
        <v>563</v>
      </c>
      <c r="B231" s="1028" t="s">
        <v>600</v>
      </c>
      <c r="C231" s="1027" t="s">
        <v>371</v>
      </c>
      <c r="D231" s="1027"/>
    </row>
    <row r="232" spans="1:4" ht="10.5" customHeight="1">
      <c r="A232" s="1013">
        <v>570</v>
      </c>
      <c r="B232" s="1026" t="s">
        <v>601</v>
      </c>
      <c r="C232" s="1027"/>
      <c r="D232" s="1027"/>
    </row>
    <row r="233" spans="1:4" ht="10.5" customHeight="1">
      <c r="A233" s="1013">
        <v>571</v>
      </c>
      <c r="B233" s="1028" t="s">
        <v>602</v>
      </c>
      <c r="C233" s="1027" t="s">
        <v>371</v>
      </c>
      <c r="D233" s="1049"/>
    </row>
    <row r="234" spans="1:4" ht="10.5" customHeight="1">
      <c r="A234" s="1013">
        <v>572</v>
      </c>
      <c r="B234" s="1028" t="s">
        <v>603</v>
      </c>
      <c r="C234" s="1027" t="s">
        <v>371</v>
      </c>
      <c r="D234" s="1049"/>
    </row>
    <row r="235" spans="1:4" ht="10.5" customHeight="1">
      <c r="A235" s="1013">
        <v>573</v>
      </c>
      <c r="B235" s="1028" t="s">
        <v>604</v>
      </c>
      <c r="C235" s="1027" t="s">
        <v>371</v>
      </c>
      <c r="D235" s="1049"/>
    </row>
    <row r="236" spans="1:4" ht="10.5" customHeight="1">
      <c r="A236" s="1013">
        <v>574</v>
      </c>
      <c r="B236" s="1028" t="s">
        <v>605</v>
      </c>
      <c r="C236" s="1027" t="s">
        <v>371</v>
      </c>
      <c r="D236" s="1049"/>
    </row>
    <row r="237" spans="1:4" ht="10.5" customHeight="1">
      <c r="A237" s="1013">
        <v>575</v>
      </c>
      <c r="B237" s="1028" t="s">
        <v>606</v>
      </c>
      <c r="C237" s="1027" t="s">
        <v>1</v>
      </c>
      <c r="D237" s="1027">
        <v>30</v>
      </c>
    </row>
    <row r="238" spans="1:4" ht="10.5" customHeight="1">
      <c r="A238" s="1013">
        <v>576</v>
      </c>
      <c r="B238" s="1028" t="s">
        <v>607</v>
      </c>
      <c r="C238" s="1027" t="s">
        <v>1</v>
      </c>
      <c r="D238" s="1027">
        <v>30</v>
      </c>
    </row>
    <row r="239" spans="1:4" ht="10.5" customHeight="1">
      <c r="A239" s="1013">
        <v>577</v>
      </c>
      <c r="B239" s="1028" t="s">
        <v>608</v>
      </c>
      <c r="C239" s="1027" t="s">
        <v>350</v>
      </c>
      <c r="D239" s="1027">
        <v>60</v>
      </c>
    </row>
    <row r="240" spans="1:4" ht="10.5" customHeight="1">
      <c r="A240" s="1013">
        <v>580</v>
      </c>
      <c r="B240" s="1026" t="s">
        <v>609</v>
      </c>
      <c r="C240" s="1027" t="s">
        <v>371</v>
      </c>
      <c r="D240" s="1027"/>
    </row>
    <row r="241" spans="1:4" ht="10.5" customHeight="1">
      <c r="A241" s="1013">
        <v>581</v>
      </c>
      <c r="B241" s="1028" t="s">
        <v>610</v>
      </c>
      <c r="C241" s="1027" t="s">
        <v>371</v>
      </c>
      <c r="D241" s="1027"/>
    </row>
    <row r="242" spans="1:4" ht="10.5" customHeight="1">
      <c r="A242" s="1013">
        <v>582</v>
      </c>
      <c r="B242" s="1028" t="s">
        <v>611</v>
      </c>
      <c r="C242" s="1027" t="s">
        <v>371</v>
      </c>
      <c r="D242" s="1027"/>
    </row>
    <row r="243" spans="1:4" ht="10.5" customHeight="1">
      <c r="A243" s="1013">
        <v>583</v>
      </c>
      <c r="B243" s="1028" t="s">
        <v>612</v>
      </c>
      <c r="C243" s="1027" t="s">
        <v>371</v>
      </c>
      <c r="D243" s="1027"/>
    </row>
    <row r="244" spans="1:4" ht="10.5" customHeight="1">
      <c r="A244" s="1013">
        <v>584</v>
      </c>
      <c r="B244" s="1028" t="s">
        <v>613</v>
      </c>
      <c r="C244" s="1027" t="s">
        <v>371</v>
      </c>
      <c r="D244" s="1027"/>
    </row>
    <row r="245" spans="1:4" ht="10.5" customHeight="1">
      <c r="A245" s="1013">
        <v>590</v>
      </c>
      <c r="B245" s="1026" t="s">
        <v>614</v>
      </c>
      <c r="C245" s="1027" t="s">
        <v>371</v>
      </c>
      <c r="D245" s="1027"/>
    </row>
    <row r="246" spans="1:4" ht="10.5" customHeight="1">
      <c r="A246" s="1013">
        <v>591</v>
      </c>
      <c r="B246" s="1028" t="s">
        <v>615</v>
      </c>
      <c r="C246" s="1027" t="s">
        <v>371</v>
      </c>
      <c r="D246" s="1027"/>
    </row>
    <row r="247" spans="1:4" ht="10.5" customHeight="1">
      <c r="A247" s="1013">
        <v>592</v>
      </c>
      <c r="B247" s="1028" t="s">
        <v>616</v>
      </c>
      <c r="C247" s="1027" t="s">
        <v>371</v>
      </c>
      <c r="D247" s="1027"/>
    </row>
    <row r="248" spans="1:4" s="1032" customFormat="1" ht="4.5" customHeight="1">
      <c r="A248" s="1029"/>
      <c r="B248" s="908"/>
      <c r="C248" s="1030"/>
      <c r="D248" s="1031"/>
    </row>
    <row r="249" spans="1:4">
      <c r="A249" s="1023"/>
      <c r="B249" s="1024" t="s">
        <v>617</v>
      </c>
      <c r="C249" s="1024"/>
      <c r="D249" s="1024"/>
    </row>
    <row r="250" spans="1:4" ht="10.5" customHeight="1">
      <c r="A250" s="1013">
        <v>610</v>
      </c>
      <c r="B250" s="1026" t="s">
        <v>618</v>
      </c>
      <c r="C250" s="1027"/>
      <c r="D250" s="1027"/>
    </row>
    <row r="251" spans="1:4" ht="10.5" customHeight="1">
      <c r="A251" s="1013">
        <v>611</v>
      </c>
      <c r="B251" s="1028" t="s">
        <v>619</v>
      </c>
      <c r="C251" s="1027" t="s">
        <v>1</v>
      </c>
      <c r="D251" s="1027">
        <v>30</v>
      </c>
    </row>
    <row r="252" spans="1:4" ht="10.5" customHeight="1">
      <c r="A252" s="1013">
        <v>612</v>
      </c>
      <c r="B252" s="1028" t="s">
        <v>620</v>
      </c>
      <c r="C252" s="1027" t="s">
        <v>0</v>
      </c>
      <c r="D252" s="1027">
        <v>20</v>
      </c>
    </row>
    <row r="253" spans="1:4" ht="10.5" customHeight="1">
      <c r="A253" s="1013">
        <v>615</v>
      </c>
      <c r="B253" s="1028" t="s">
        <v>621</v>
      </c>
      <c r="C253" s="1027" t="s">
        <v>350</v>
      </c>
      <c r="D253" s="1027">
        <v>60</v>
      </c>
    </row>
    <row r="254" spans="1:4" ht="10.5" customHeight="1">
      <c r="A254" s="1013">
        <v>620</v>
      </c>
      <c r="B254" s="1026" t="s">
        <v>622</v>
      </c>
      <c r="C254" s="1027"/>
      <c r="D254" s="1027"/>
    </row>
    <row r="255" spans="1:4" ht="10.5" customHeight="1">
      <c r="A255" s="1013">
        <v>621</v>
      </c>
      <c r="B255" s="1028" t="s">
        <v>623</v>
      </c>
      <c r="C255" s="1027" t="s">
        <v>1</v>
      </c>
      <c r="D255" s="1027">
        <v>30</v>
      </c>
    </row>
    <row r="256" spans="1:4" ht="10.5" customHeight="1">
      <c r="A256" s="1013">
        <v>622</v>
      </c>
      <c r="B256" s="1028" t="s">
        <v>624</v>
      </c>
      <c r="C256" s="1027" t="s">
        <v>1</v>
      </c>
      <c r="D256" s="1027">
        <v>30</v>
      </c>
    </row>
    <row r="257" spans="1:4" ht="10.5" customHeight="1">
      <c r="A257" s="1013">
        <v>624</v>
      </c>
      <c r="B257" s="1028" t="s">
        <v>625</v>
      </c>
      <c r="C257" s="1027" t="s">
        <v>1</v>
      </c>
      <c r="D257" s="1027">
        <v>30</v>
      </c>
    </row>
    <row r="258" spans="1:4" ht="10.5" customHeight="1">
      <c r="A258" s="1013">
        <v>625</v>
      </c>
      <c r="B258" s="1028" t="s">
        <v>626</v>
      </c>
      <c r="C258" s="1027" t="s">
        <v>371</v>
      </c>
      <c r="D258" s="1027"/>
    </row>
    <row r="259" spans="1:4" ht="10.5" customHeight="1">
      <c r="A259" s="1013">
        <v>626</v>
      </c>
      <c r="B259" s="1028" t="s">
        <v>627</v>
      </c>
      <c r="C259" s="1027" t="s">
        <v>371</v>
      </c>
      <c r="D259" s="1027"/>
    </row>
    <row r="260" spans="1:4" ht="10.5" customHeight="1">
      <c r="A260" s="1013">
        <v>628</v>
      </c>
      <c r="B260" s="1028" t="s">
        <v>628</v>
      </c>
      <c r="C260" s="1027" t="s">
        <v>371</v>
      </c>
      <c r="D260" s="1027"/>
    </row>
    <row r="261" spans="1:4" ht="10.5" customHeight="1">
      <c r="A261" s="1013">
        <v>630</v>
      </c>
      <c r="B261" s="1026" t="s">
        <v>629</v>
      </c>
      <c r="C261" s="1027" t="s">
        <v>350</v>
      </c>
      <c r="D261" s="1027">
        <v>60</v>
      </c>
    </row>
    <row r="262" spans="1:4" ht="10.5" customHeight="1">
      <c r="A262" s="1013">
        <v>634</v>
      </c>
      <c r="B262" s="1028" t="s">
        <v>630</v>
      </c>
      <c r="C262" s="1027" t="s">
        <v>350</v>
      </c>
      <c r="D262" s="1027">
        <v>60</v>
      </c>
    </row>
    <row r="263" spans="1:4" ht="10.5" customHeight="1">
      <c r="A263" s="1013">
        <v>660</v>
      </c>
      <c r="B263" s="1026" t="s">
        <v>631</v>
      </c>
      <c r="C263" s="1027" t="s">
        <v>350</v>
      </c>
      <c r="D263" s="1027">
        <v>60</v>
      </c>
    </row>
    <row r="264" spans="1:4" ht="10.5" customHeight="1">
      <c r="A264" s="1013">
        <v>661</v>
      </c>
      <c r="B264" s="1028" t="s">
        <v>632</v>
      </c>
      <c r="C264" s="1027" t="s">
        <v>350</v>
      </c>
      <c r="D264" s="1027">
        <v>60</v>
      </c>
    </row>
    <row r="265" spans="1:4" ht="10.5" customHeight="1">
      <c r="A265" s="1013">
        <v>662</v>
      </c>
      <c r="B265" s="1028" t="s">
        <v>633</v>
      </c>
      <c r="C265" s="1027" t="s">
        <v>350</v>
      </c>
      <c r="D265" s="1027">
        <v>60</v>
      </c>
    </row>
    <row r="266" spans="1:4" ht="10.5" customHeight="1">
      <c r="A266" s="1013">
        <v>663</v>
      </c>
      <c r="B266" s="1028" t="s">
        <v>634</v>
      </c>
      <c r="C266" s="1027" t="s">
        <v>350</v>
      </c>
      <c r="D266" s="1027">
        <v>60</v>
      </c>
    </row>
    <row r="267" spans="1:4" ht="10.5" customHeight="1">
      <c r="A267" s="1013">
        <v>664</v>
      </c>
      <c r="B267" s="1028" t="s">
        <v>635</v>
      </c>
      <c r="C267" s="1027" t="s">
        <v>350</v>
      </c>
      <c r="D267" s="1027">
        <v>60</v>
      </c>
    </row>
    <row r="268" spans="1:4" ht="10.5" customHeight="1">
      <c r="A268" s="1013">
        <v>665</v>
      </c>
      <c r="B268" s="1028" t="s">
        <v>636</v>
      </c>
      <c r="C268" s="1027" t="s">
        <v>350</v>
      </c>
      <c r="D268" s="1027">
        <v>60</v>
      </c>
    </row>
    <row r="269" spans="1:4" ht="10.5" customHeight="1">
      <c r="A269" s="1013">
        <v>666</v>
      </c>
      <c r="B269" s="1028" t="s">
        <v>637</v>
      </c>
      <c r="C269" s="1027" t="s">
        <v>350</v>
      </c>
      <c r="D269" s="1027">
        <v>60</v>
      </c>
    </row>
    <row r="270" spans="1:4" ht="10.5" customHeight="1">
      <c r="A270" s="1013">
        <v>667</v>
      </c>
      <c r="B270" s="1028" t="s">
        <v>638</v>
      </c>
      <c r="C270" s="1027" t="s">
        <v>350</v>
      </c>
      <c r="D270" s="1027">
        <v>60</v>
      </c>
    </row>
    <row r="271" spans="1:4" ht="10.5" customHeight="1">
      <c r="A271" s="1013">
        <v>668</v>
      </c>
      <c r="B271" s="1028" t="s">
        <v>639</v>
      </c>
      <c r="C271" s="1027" t="s">
        <v>350</v>
      </c>
      <c r="D271" s="1027">
        <v>60</v>
      </c>
    </row>
    <row r="272" spans="1:4" s="1032" customFormat="1" ht="4.5" customHeight="1">
      <c r="A272" s="1029"/>
      <c r="B272" s="908"/>
      <c r="C272" s="1030"/>
      <c r="D272" s="1030"/>
    </row>
    <row r="273" spans="1:15" ht="12">
      <c r="A273" s="1190" t="s">
        <v>640</v>
      </c>
    </row>
    <row r="274" spans="1:15">
      <c r="A274" s="908" t="s">
        <v>641</v>
      </c>
    </row>
    <row r="275" spans="1:15">
      <c r="A275" s="1052" t="s">
        <v>642</v>
      </c>
    </row>
    <row r="276" spans="1:15">
      <c r="A276" s="908" t="s">
        <v>643</v>
      </c>
    </row>
    <row r="277" spans="1:15">
      <c r="A277" s="1053" t="s">
        <v>644</v>
      </c>
    </row>
    <row r="279" spans="1:15">
      <c r="D279" s="1160" t="str">
        <f>HAW!B28</f>
        <v>Kennwertverfahren NRW für HAW; HIS-Institut für Hochschulentwicklung e.V. (24.04.2026)</v>
      </c>
    </row>
    <row r="280" spans="1:15" s="1015" customFormat="1">
      <c r="B280" s="940"/>
      <c r="C280" s="1016"/>
      <c r="D280" s="1016"/>
      <c r="E280" s="940"/>
      <c r="F280" s="940"/>
      <c r="G280" s="940"/>
      <c r="H280" s="940"/>
      <c r="I280" s="940"/>
      <c r="J280" s="940"/>
      <c r="K280" s="940"/>
      <c r="L280" s="940"/>
      <c r="M280" s="940"/>
      <c r="N280" s="940"/>
      <c r="O280" s="940"/>
    </row>
  </sheetData>
  <sheetProtection sheet="1" selectLockedCells="1"/>
  <conditionalFormatting sqref="C31:D31 C73:D73 C157:D157 C190:D190 C248:D248 C272:D272">
    <cfRule type="cellIs" dxfId="0" priority="1" stopIfTrue="1" operator="equal">
      <formula>#REF!</formula>
    </cfRule>
  </conditionalFormatting>
  <pageMargins left="0.70866141732283472" right="0.70866141732283472" top="0.59055118110236227" bottom="0.39370078740157483" header="0.11811023622047245" footer="0.11811023622047245"/>
  <pageSetup paperSize="9" scale="74" fitToHeight="30" orientation="portrait" r:id="rId1"/>
  <headerFooter>
    <oddFooter>&amp;L&amp;8HIS-HE: KWV-Sachsen Definition hochschulspezifische Nutzungsbereiche, Stand 26.03.2019&amp;R&amp;8&amp;P</oddFooter>
  </headerFooter>
  <rowBreaks count="2" manualBreakCount="2">
    <brk id="102" max="3" man="1"/>
    <brk id="190" max="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CEA52-3C4B-44DD-8529-E41EDC6D03BB}">
  <sheetPr>
    <tabColor theme="0" tint="-4.9989318521683403E-2"/>
  </sheetPr>
  <dimension ref="A1:M32"/>
  <sheetViews>
    <sheetView showGridLines="0" zoomScale="115" zoomScaleNormal="115" zoomScaleSheetLayoutView="115" workbookViewId="0"/>
  </sheetViews>
  <sheetFormatPr baseColWidth="10" defaultColWidth="11.453125" defaultRowHeight="11.5"/>
  <cols>
    <col min="1" max="1" width="8.54296875" style="1015" customWidth="1"/>
    <col min="2" max="2" width="57.54296875" style="940" customWidth="1"/>
    <col min="3" max="3" width="19.1796875" style="1016" customWidth="1"/>
    <col min="4" max="4" width="9.81640625" style="1016" customWidth="1"/>
    <col min="5" max="11" width="7.7265625" style="940" customWidth="1"/>
    <col min="12" max="16384" width="11.453125" style="940"/>
  </cols>
  <sheetData>
    <row r="1" spans="1:6">
      <c r="A1" s="938" t="s">
        <v>848</v>
      </c>
      <c r="B1" s="939"/>
      <c r="C1" s="939"/>
      <c r="D1" s="939"/>
      <c r="E1" s="939"/>
      <c r="F1" s="939"/>
    </row>
    <row r="2" spans="1:6" ht="6" customHeight="1">
      <c r="A2" s="940"/>
      <c r="C2" s="940"/>
      <c r="D2" s="940"/>
    </row>
    <row r="3" spans="1:6" s="907" customFormat="1" ht="21" customHeight="1">
      <c r="A3" s="1009" t="s">
        <v>343</v>
      </c>
      <c r="B3" s="1010" t="s">
        <v>344</v>
      </c>
    </row>
    <row r="4" spans="1:6" ht="13" customHeight="1">
      <c r="A4" s="1011">
        <v>10</v>
      </c>
      <c r="B4" s="1012" t="s">
        <v>345</v>
      </c>
      <c r="C4" s="940"/>
      <c r="D4" s="940"/>
    </row>
    <row r="5" spans="1:6" ht="13" customHeight="1">
      <c r="A5" s="1013">
        <v>20</v>
      </c>
      <c r="B5" s="1014" t="s">
        <v>0</v>
      </c>
      <c r="C5" s="940"/>
      <c r="D5" s="940"/>
    </row>
    <row r="6" spans="1:6" ht="13" customHeight="1">
      <c r="A6" s="1013">
        <v>30</v>
      </c>
      <c r="B6" s="1014" t="s">
        <v>1</v>
      </c>
      <c r="C6" s="940"/>
      <c r="D6" s="940"/>
    </row>
    <row r="7" spans="1:6" ht="13" customHeight="1">
      <c r="A7" s="1013">
        <v>40</v>
      </c>
      <c r="B7" s="1014" t="s">
        <v>20</v>
      </c>
      <c r="C7" s="940"/>
      <c r="D7" s="940"/>
    </row>
    <row r="8" spans="1:6" ht="13" customHeight="1">
      <c r="A8" s="1013">
        <v>50</v>
      </c>
      <c r="B8" s="1014" t="s">
        <v>346</v>
      </c>
      <c r="C8" s="940"/>
      <c r="D8" s="940"/>
    </row>
    <row r="9" spans="1:6" ht="13" customHeight="1">
      <c r="A9" s="1013">
        <v>54</v>
      </c>
      <c r="B9" s="1014" t="s">
        <v>347</v>
      </c>
      <c r="C9" s="940"/>
      <c r="D9" s="940"/>
    </row>
    <row r="10" spans="1:6" ht="13" customHeight="1">
      <c r="A10" s="1013" t="s">
        <v>348</v>
      </c>
      <c r="B10" s="1014" t="s">
        <v>349</v>
      </c>
      <c r="C10" s="940"/>
      <c r="D10" s="940"/>
    </row>
    <row r="11" spans="1:6" ht="13" customHeight="1">
      <c r="A11" s="1013">
        <v>60</v>
      </c>
      <c r="B11" s="1014" t="s">
        <v>350</v>
      </c>
      <c r="C11" s="940"/>
      <c r="D11" s="940"/>
    </row>
    <row r="12" spans="1:6" ht="13" customHeight="1">
      <c r="A12" s="1013">
        <v>70</v>
      </c>
      <c r="B12" s="1014" t="s">
        <v>197</v>
      </c>
      <c r="C12" s="940"/>
      <c r="D12" s="940"/>
    </row>
    <row r="13" spans="1:6" ht="13" customHeight="1">
      <c r="A13" s="1013">
        <v>80</v>
      </c>
      <c r="B13" s="1014" t="s">
        <v>159</v>
      </c>
      <c r="C13" s="940"/>
      <c r="D13" s="940"/>
    </row>
    <row r="14" spans="1:6" ht="13" customHeight="1">
      <c r="A14" s="1013">
        <v>90</v>
      </c>
      <c r="B14" s="1014" t="s">
        <v>351</v>
      </c>
      <c r="C14" s="940"/>
      <c r="D14" s="940"/>
    </row>
    <row r="15" spans="1:6" ht="13" customHeight="1">
      <c r="A15" s="1013">
        <v>91</v>
      </c>
      <c r="B15" s="1014" t="s">
        <v>352</v>
      </c>
      <c r="C15" s="940"/>
      <c r="D15" s="940"/>
    </row>
    <row r="16" spans="1:6" ht="13" customHeight="1">
      <c r="A16" s="1013">
        <v>92</v>
      </c>
      <c r="B16" s="1014" t="s">
        <v>353</v>
      </c>
      <c r="C16" s="940"/>
      <c r="D16" s="940"/>
    </row>
    <row r="17" spans="1:13" ht="13" customHeight="1">
      <c r="A17" s="1013">
        <v>93</v>
      </c>
      <c r="B17" s="1014" t="s">
        <v>354</v>
      </c>
      <c r="C17" s="940"/>
      <c r="D17" s="940"/>
    </row>
    <row r="18" spans="1:13" ht="13" customHeight="1">
      <c r="A18" s="1013">
        <v>94</v>
      </c>
      <c r="B18" s="1014" t="s">
        <v>355</v>
      </c>
      <c r="C18" s="940"/>
      <c r="D18" s="940"/>
    </row>
    <row r="19" spans="1:13" ht="13" customHeight="1">
      <c r="A19" s="1013">
        <v>95</v>
      </c>
      <c r="B19" s="1014" t="s">
        <v>356</v>
      </c>
      <c r="C19" s="940"/>
      <c r="D19" s="940"/>
    </row>
    <row r="20" spans="1:13" ht="13" customHeight="1">
      <c r="A20" s="1013">
        <v>96</v>
      </c>
      <c r="B20" s="1014" t="s">
        <v>357</v>
      </c>
      <c r="C20" s="940"/>
      <c r="D20" s="940"/>
    </row>
    <row r="21" spans="1:13" ht="13" customHeight="1">
      <c r="A21" s="1013">
        <v>97</v>
      </c>
      <c r="B21" s="1014" t="s">
        <v>358</v>
      </c>
      <c r="C21" s="940"/>
      <c r="D21" s="940"/>
    </row>
    <row r="22" spans="1:13" ht="13" customHeight="1">
      <c r="A22" s="1013">
        <v>98</v>
      </c>
      <c r="B22" s="1014" t="s">
        <v>359</v>
      </c>
      <c r="C22" s="940"/>
      <c r="D22" s="940"/>
    </row>
    <row r="23" spans="1:13" ht="13" customHeight="1">
      <c r="A23" s="1013">
        <v>99</v>
      </c>
      <c r="B23" s="1014" t="s">
        <v>360</v>
      </c>
      <c r="C23" s="940"/>
      <c r="D23" s="940"/>
    </row>
    <row r="24" spans="1:13" ht="6" customHeight="1"/>
    <row r="25" spans="1:13" s="1015" customFormat="1" ht="12">
      <c r="A25" s="1017" t="s">
        <v>858</v>
      </c>
      <c r="B25" s="1016"/>
      <c r="C25" s="1016"/>
      <c r="D25" s="1016"/>
      <c r="E25" s="940"/>
      <c r="F25" s="940"/>
      <c r="G25" s="940"/>
      <c r="H25" s="940"/>
      <c r="I25" s="940"/>
      <c r="J25" s="940"/>
      <c r="K25" s="940"/>
      <c r="L25" s="940"/>
      <c r="M25" s="940"/>
    </row>
    <row r="26" spans="1:13">
      <c r="A26" s="1392" t="s">
        <v>361</v>
      </c>
      <c r="B26" s="1392"/>
      <c r="C26" s="1392"/>
    </row>
    <row r="27" spans="1:13" ht="36" customHeight="1">
      <c r="A27" s="1393" t="s">
        <v>362</v>
      </c>
      <c r="B27" s="1393"/>
      <c r="C27" s="1393"/>
    </row>
    <row r="28" spans="1:13" ht="24" customHeight="1">
      <c r="A28" s="1393" t="s">
        <v>363</v>
      </c>
      <c r="B28" s="1393"/>
      <c r="C28" s="1393"/>
    </row>
    <row r="29" spans="1:13">
      <c r="A29" s="1394" t="s">
        <v>364</v>
      </c>
      <c r="B29" s="1394"/>
      <c r="C29" s="1394"/>
    </row>
    <row r="30" spans="1:13" ht="26.5" customHeight="1">
      <c r="A30" s="1394" t="s">
        <v>365</v>
      </c>
      <c r="B30" s="1394"/>
      <c r="C30" s="1394"/>
    </row>
    <row r="32" spans="1:13">
      <c r="A32" s="1161" t="str">
        <f>HAW!B28</f>
        <v>Kennwertverfahren NRW für HAW; HIS-Institut für Hochschulentwicklung e.V. (24.04.2026)</v>
      </c>
    </row>
  </sheetData>
  <sheetProtection sheet="1" selectLockedCells="1"/>
  <mergeCells count="5">
    <mergeCell ref="A26:C26"/>
    <mergeCell ref="A27:C27"/>
    <mergeCell ref="A28:C28"/>
    <mergeCell ref="A29:C29"/>
    <mergeCell ref="A30:C30"/>
  </mergeCells>
  <pageMargins left="0.70866141732283472" right="0.70866141732283472" top="0.59055118110236227" bottom="0.39370078740157483" header="0.11811023622047245" footer="0.11811023622047245"/>
  <pageSetup paperSize="9" fitToHeight="30" orientation="portrait" r:id="rId1"/>
  <headerFooter>
    <oddFooter>&amp;L&amp;8HIS-HE: KWV-Sachsen Definition hochschulspezifische Nutzungsbereiche, Stand 26.03.2019&amp;R&amp;8&amp;P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8E4B0-B225-49E5-8648-5B70B64CDF3A}">
  <sheetPr>
    <tabColor theme="8" tint="0.59999389629810485"/>
    <outlinePr summaryBelow="0"/>
    <pageSetUpPr autoPageBreaks="0" fitToPage="1"/>
  </sheetPr>
  <dimension ref="A1:E84"/>
  <sheetViews>
    <sheetView showGridLines="0" showZeros="0" zoomScale="115" zoomScaleNormal="115" zoomScaleSheetLayoutView="115" workbookViewId="0">
      <selection activeCell="A26" sqref="A26"/>
    </sheetView>
  </sheetViews>
  <sheetFormatPr baseColWidth="10" defaultColWidth="10.453125" defaultRowHeight="10"/>
  <cols>
    <col min="1" max="1" width="27.81640625" style="83" customWidth="1"/>
    <col min="2" max="2" width="0.453125" style="83" customWidth="1"/>
    <col min="3" max="3" width="24.1796875" style="83" customWidth="1"/>
    <col min="4" max="5" width="45.453125" style="83" customWidth="1"/>
    <col min="6" max="16384" width="10.453125" style="83"/>
  </cols>
  <sheetData>
    <row r="1" spans="1:5" ht="22.5" customHeight="1">
      <c r="A1" s="1130" t="s">
        <v>8</v>
      </c>
      <c r="B1" s="1131"/>
      <c r="C1" s="1132" t="s">
        <v>88</v>
      </c>
      <c r="D1" s="1132" t="s">
        <v>84</v>
      </c>
      <c r="E1" s="1132" t="s">
        <v>85</v>
      </c>
    </row>
    <row r="2" spans="1:5" ht="2.25" customHeight="1">
      <c r="A2" s="1133"/>
      <c r="B2" s="1134"/>
      <c r="C2" s="1135"/>
      <c r="D2" s="1135"/>
      <c r="E2" s="1135"/>
    </row>
    <row r="3" spans="1:5" ht="6.75" customHeight="1">
      <c r="A3" s="907"/>
      <c r="B3" s="907"/>
      <c r="C3" s="907"/>
      <c r="D3" s="907"/>
      <c r="E3" s="907"/>
    </row>
    <row r="4" spans="1:5" ht="12.75" customHeight="1">
      <c r="A4" s="1136" t="s">
        <v>104</v>
      </c>
      <c r="B4" s="1137"/>
      <c r="C4" s="1138"/>
      <c r="D4" s="1138"/>
      <c r="E4" s="1138"/>
    </row>
    <row r="5" spans="1:5" ht="2.25" customHeight="1">
      <c r="A5" s="907"/>
      <c r="B5" s="907"/>
      <c r="C5" s="1139"/>
      <c r="D5" s="1139"/>
      <c r="E5" s="1139"/>
    </row>
    <row r="6" spans="1:5" ht="29.15" customHeight="1">
      <c r="A6" s="1140" t="s">
        <v>122</v>
      </c>
      <c r="B6" s="1141"/>
      <c r="C6" s="1142"/>
      <c r="D6" s="1142" t="s">
        <v>653</v>
      </c>
      <c r="E6" s="1142" t="s">
        <v>645</v>
      </c>
    </row>
    <row r="7" spans="1:5" ht="17.149999999999999" customHeight="1">
      <c r="A7" s="1143" t="s">
        <v>3</v>
      </c>
      <c r="B7" s="1141"/>
      <c r="C7" s="1142"/>
      <c r="D7" s="1142" t="s">
        <v>646</v>
      </c>
      <c r="E7" s="1144"/>
    </row>
    <row r="8" spans="1:5" ht="2.25" customHeight="1">
      <c r="A8" s="1131"/>
      <c r="B8" s="1131"/>
      <c r="C8" s="1145"/>
      <c r="D8" s="1145"/>
      <c r="E8" s="1145"/>
    </row>
    <row r="9" spans="1:5" ht="41.15" customHeight="1">
      <c r="A9" s="1143" t="s">
        <v>4</v>
      </c>
      <c r="B9" s="1141"/>
      <c r="C9" s="1142"/>
      <c r="D9" s="1142" t="s">
        <v>654</v>
      </c>
      <c r="E9" s="1142"/>
    </row>
    <row r="10" spans="1:5" ht="29.15" customHeight="1">
      <c r="A10" s="1143" t="s">
        <v>5</v>
      </c>
      <c r="B10" s="1141"/>
      <c r="C10" s="1142"/>
      <c r="D10" s="1142" t="s">
        <v>655</v>
      </c>
      <c r="E10" s="1142" t="s">
        <v>854</v>
      </c>
    </row>
    <row r="11" spans="1:5" ht="65.150000000000006" customHeight="1">
      <c r="A11" s="1143" t="s">
        <v>17</v>
      </c>
      <c r="B11" s="1141"/>
      <c r="C11" s="1142"/>
      <c r="D11" s="1142" t="s">
        <v>662</v>
      </c>
      <c r="E11" s="1142" t="s">
        <v>660</v>
      </c>
    </row>
    <row r="12" spans="1:5" ht="41.15" customHeight="1">
      <c r="A12" s="1143" t="s">
        <v>6</v>
      </c>
      <c r="B12" s="1141"/>
      <c r="C12" s="1142"/>
      <c r="D12" s="1142" t="s">
        <v>648</v>
      </c>
      <c r="E12" s="1142" t="s">
        <v>661</v>
      </c>
    </row>
    <row r="13" spans="1:5" ht="53.15" customHeight="1">
      <c r="A13" s="1143" t="s">
        <v>7</v>
      </c>
      <c r="B13" s="1141"/>
      <c r="C13" s="1142" t="s">
        <v>658</v>
      </c>
      <c r="D13" s="1142" t="s">
        <v>659</v>
      </c>
      <c r="E13" s="1142" t="s">
        <v>656</v>
      </c>
    </row>
    <row r="14" spans="1:5" ht="29.15" customHeight="1">
      <c r="A14" s="1140" t="s">
        <v>105</v>
      </c>
      <c r="B14" s="1131"/>
      <c r="C14" s="1142"/>
      <c r="D14" s="1142" t="s">
        <v>299</v>
      </c>
      <c r="E14" s="1142"/>
    </row>
    <row r="15" spans="1:5" ht="6.75" customHeight="1">
      <c r="A15" s="907"/>
      <c r="B15" s="907"/>
      <c r="C15" s="908"/>
      <c r="D15" s="908"/>
      <c r="E15" s="908"/>
    </row>
    <row r="16" spans="1:5" ht="12.75" customHeight="1">
      <c r="A16" s="1146" t="s">
        <v>128</v>
      </c>
      <c r="B16" s="1147"/>
      <c r="C16" s="1148"/>
      <c r="D16" s="1148"/>
      <c r="E16" s="1148"/>
    </row>
    <row r="17" spans="1:5" ht="2.25" customHeight="1">
      <c r="A17" s="907"/>
      <c r="B17" s="907"/>
      <c r="C17" s="908"/>
      <c r="D17" s="908"/>
      <c r="E17" s="908"/>
    </row>
    <row r="18" spans="1:5" ht="29.15" customHeight="1">
      <c r="A18" s="1149" t="s">
        <v>21</v>
      </c>
      <c r="B18" s="1150"/>
      <c r="C18" s="1151"/>
      <c r="D18" s="1142" t="s">
        <v>649</v>
      </c>
      <c r="E18" s="1142" t="s">
        <v>663</v>
      </c>
    </row>
    <row r="19" spans="1:5" ht="2.25" customHeight="1">
      <c r="A19" s="907"/>
      <c r="B19" s="907"/>
      <c r="C19" s="908"/>
      <c r="D19" s="908"/>
      <c r="E19" s="908"/>
    </row>
    <row r="20" spans="1:5" ht="53.15" customHeight="1">
      <c r="A20" s="1152" t="s">
        <v>106</v>
      </c>
      <c r="B20" s="908"/>
      <c r="C20" s="1151"/>
      <c r="D20" s="1142" t="s">
        <v>851</v>
      </c>
      <c r="E20" s="1142" t="s">
        <v>650</v>
      </c>
    </row>
    <row r="21" spans="1:5" ht="53.15" customHeight="1">
      <c r="A21" s="1152" t="s">
        <v>271</v>
      </c>
      <c r="B21" s="1150"/>
      <c r="C21" s="1142" t="s">
        <v>855</v>
      </c>
      <c r="D21" s="1142" t="s">
        <v>651</v>
      </c>
      <c r="E21" s="1142" t="s">
        <v>652</v>
      </c>
    </row>
    <row r="22" spans="1:5" ht="2.25" customHeight="1">
      <c r="A22" s="907"/>
      <c r="B22" s="907"/>
      <c r="C22" s="908"/>
      <c r="D22" s="908"/>
      <c r="E22" s="908"/>
    </row>
    <row r="23" spans="1:5" ht="41.15" customHeight="1">
      <c r="A23" s="1152" t="s">
        <v>188</v>
      </c>
      <c r="B23" s="1150"/>
      <c r="C23" s="1151"/>
      <c r="D23" s="1142" t="s">
        <v>853</v>
      </c>
      <c r="E23" s="1142" t="s">
        <v>657</v>
      </c>
    </row>
    <row r="24" spans="1:5" ht="41.15" customHeight="1">
      <c r="A24" s="1149" t="s">
        <v>10</v>
      </c>
      <c r="B24" s="1150"/>
      <c r="C24" s="1151"/>
      <c r="D24" s="1142" t="s">
        <v>852</v>
      </c>
      <c r="E24" s="1142"/>
    </row>
    <row r="25" spans="1:5" ht="14.5" customHeight="1">
      <c r="E25" s="1063" t="s">
        <v>845</v>
      </c>
    </row>
    <row r="26" spans="1:5" ht="15" customHeight="1">
      <c r="A26" s="927" t="s">
        <v>647</v>
      </c>
    </row>
    <row r="30" spans="1:5" s="78" customFormat="1">
      <c r="A30" s="83"/>
      <c r="B30" s="83"/>
      <c r="C30" s="83"/>
      <c r="D30" s="83"/>
      <c r="E30" s="83"/>
    </row>
    <row r="31" spans="1:5" s="78" customFormat="1">
      <c r="A31" s="83"/>
      <c r="B31" s="83"/>
      <c r="C31" s="83"/>
      <c r="D31" s="83"/>
      <c r="E31" s="83"/>
    </row>
    <row r="33" s="83" customFormat="1"/>
    <row r="77" spans="1:5">
      <c r="A77" s="85"/>
      <c r="B77" s="1061"/>
      <c r="C77" s="1062"/>
      <c r="D77" s="1062"/>
      <c r="E77" s="1062"/>
    </row>
    <row r="84" spans="1:5" s="85" customFormat="1" ht="15" customHeight="1">
      <c r="A84" s="83"/>
      <c r="B84" s="83"/>
      <c r="C84" s="83"/>
      <c r="D84" s="83"/>
      <c r="E84" s="83"/>
    </row>
  </sheetData>
  <sheetProtection algorithmName="SHA-512" hashValue="IlRXoAUFv2ZIodHObZ3ZN8jYmrvkxZn9q6ekXoO6qXFwF38WN3ofXidGJFGSGGXhmU8koeZxdR1ZWA+thEJFWg==" saltValue="5Cxdjk4lJomYzWA263+SYw==" spinCount="100000" sheet="1" selectLockedCells="1" selectUnlockedCells="1"/>
  <conditionalFormatting sqref="C6:E7">
    <cfRule type="cellIs" dxfId="160" priority="1" stopIfTrue="1" operator="equal">
      <formula>#REF!</formula>
    </cfRule>
  </conditionalFormatting>
  <conditionalFormatting sqref="C9:E14">
    <cfRule type="cellIs" dxfId="159" priority="5" stopIfTrue="1" operator="equal">
      <formula>#REF!</formula>
    </cfRule>
  </conditionalFormatting>
  <conditionalFormatting sqref="C18:E18">
    <cfRule type="cellIs" dxfId="158" priority="4" stopIfTrue="1" operator="equal">
      <formula>#REF!</formula>
    </cfRule>
  </conditionalFormatting>
  <conditionalFormatting sqref="C20:E21">
    <cfRule type="cellIs" dxfId="157" priority="3" stopIfTrue="1" operator="equal">
      <formula>#REF!</formula>
    </cfRule>
  </conditionalFormatting>
  <conditionalFormatting sqref="C23:E24">
    <cfRule type="cellIs" dxfId="156" priority="2" stopIfTrue="1" operator="equal">
      <formula>#REF!</formula>
    </cfRule>
  </conditionalFormatting>
  <pageMargins left="0.78740157480314965" right="0.78740157480314965" top="0.78740157480314965" bottom="0.59055118110236227" header="0.51181102362204722" footer="0.27559055118110237"/>
  <pageSetup paperSize="9" scale="81" orientation="landscape" r:id="rId1"/>
  <headerFooter alignWithMargins="0">
    <oddFooter>&amp;C&amp;8Seite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6421C-BA3E-4759-BB1E-4A8072A473B6}">
  <sheetPr codeName="Tabelle3">
    <tabColor theme="8" tint="0.59999389629810485"/>
  </sheetPr>
  <dimension ref="A1:Q35"/>
  <sheetViews>
    <sheetView showGridLines="0" zoomScale="115" zoomScaleNormal="115" zoomScaleSheetLayoutView="90" workbookViewId="0">
      <selection activeCell="O9" sqref="O9"/>
    </sheetView>
  </sheetViews>
  <sheetFormatPr baseColWidth="10" defaultColWidth="11.453125" defaultRowHeight="14.5"/>
  <cols>
    <col min="1" max="1" width="18.1796875" style="481" customWidth="1"/>
    <col min="2" max="2" width="0.54296875" style="481" customWidth="1"/>
    <col min="3" max="3" width="7.54296875" style="481" customWidth="1"/>
    <col min="4" max="6" width="8.7265625" style="481" customWidth="1"/>
    <col min="7" max="13" width="8" style="481" customWidth="1"/>
    <col min="14" max="14" width="7.54296875" style="481" customWidth="1"/>
    <col min="15" max="17" width="7.1796875" style="763" customWidth="1"/>
    <col min="18" max="16384" width="11.453125" style="481"/>
  </cols>
  <sheetData>
    <row r="1" spans="1:17" ht="14.5" customHeight="1">
      <c r="A1" s="1311" t="s">
        <v>135</v>
      </c>
      <c r="B1" s="1312"/>
      <c r="C1" s="1312"/>
      <c r="D1" s="1312"/>
      <c r="E1" s="482"/>
      <c r="F1" s="482"/>
      <c r="G1" s="482"/>
      <c r="H1" s="482"/>
      <c r="I1" s="482"/>
      <c r="J1" s="482"/>
      <c r="K1" s="482"/>
      <c r="L1" s="482"/>
      <c r="M1" s="482"/>
    </row>
    <row r="2" spans="1:17" ht="2.25" customHeight="1">
      <c r="A2" s="483"/>
    </row>
    <row r="3" spans="1:17" ht="14.5" customHeight="1">
      <c r="A3" s="484"/>
      <c r="B3" s="485"/>
      <c r="C3" s="1301" t="s">
        <v>0</v>
      </c>
      <c r="D3" s="1303" t="s">
        <v>35</v>
      </c>
      <c r="E3" s="1304"/>
      <c r="F3" s="1304"/>
      <c r="G3" s="1304"/>
      <c r="H3" s="1313"/>
      <c r="I3" s="1291" t="s">
        <v>136</v>
      </c>
      <c r="J3" s="1292"/>
      <c r="K3" s="1292"/>
      <c r="L3" s="1292"/>
      <c r="M3" s="1293"/>
    </row>
    <row r="4" spans="1:17" ht="14.5" customHeight="1">
      <c r="A4" s="486"/>
      <c r="B4" s="485"/>
      <c r="C4" s="1302"/>
      <c r="D4" s="1291" t="s">
        <v>137</v>
      </c>
      <c r="E4" s="1292"/>
      <c r="F4" s="1293"/>
      <c r="G4" s="1314" t="s">
        <v>138</v>
      </c>
      <c r="H4" s="1316"/>
      <c r="I4" s="1289" t="s">
        <v>214</v>
      </c>
      <c r="J4" s="1289" t="s">
        <v>217</v>
      </c>
      <c r="K4" s="1289"/>
      <c r="L4" s="1307" t="s">
        <v>20</v>
      </c>
      <c r="M4" s="1308"/>
    </row>
    <row r="5" spans="1:17" ht="35.25" customHeight="1">
      <c r="A5" s="488"/>
      <c r="B5" s="485"/>
      <c r="C5" s="1302"/>
      <c r="D5" s="487" t="s">
        <v>229</v>
      </c>
      <c r="E5" s="487" t="s">
        <v>230</v>
      </c>
      <c r="F5" s="487" t="s">
        <v>210</v>
      </c>
      <c r="G5" s="1315"/>
      <c r="H5" s="1317"/>
      <c r="I5" s="1290"/>
      <c r="J5" s="1290"/>
      <c r="K5" s="1290"/>
      <c r="L5" s="1309"/>
      <c r="M5" s="1310"/>
      <c r="O5" s="78" t="s">
        <v>863</v>
      </c>
    </row>
    <row r="6" spans="1:17" ht="2.25" customHeight="1">
      <c r="A6" s="489"/>
      <c r="B6" s="485"/>
      <c r="C6" s="489"/>
      <c r="D6" s="489"/>
      <c r="E6" s="489"/>
      <c r="F6" s="489"/>
      <c r="G6" s="489"/>
      <c r="H6" s="755"/>
      <c r="I6" s="489"/>
      <c r="J6" s="758"/>
      <c r="K6" s="759"/>
      <c r="L6" s="490"/>
      <c r="M6" s="491"/>
    </row>
    <row r="7" spans="1:17" ht="6.75" customHeight="1">
      <c r="A7" s="485"/>
      <c r="B7" s="485"/>
      <c r="C7" s="492"/>
      <c r="D7" s="492"/>
      <c r="E7" s="492"/>
      <c r="F7" s="492"/>
      <c r="G7" s="485"/>
      <c r="H7" s="756"/>
      <c r="I7" s="485"/>
      <c r="J7" s="485"/>
      <c r="K7" s="485"/>
      <c r="L7" s="485"/>
      <c r="M7" s="485"/>
      <c r="N7" s="485"/>
    </row>
    <row r="8" spans="1:17" ht="63" customHeight="1">
      <c r="A8" s="715" t="s">
        <v>139</v>
      </c>
      <c r="B8" s="485"/>
      <c r="C8" s="487" t="s">
        <v>212</v>
      </c>
      <c r="D8" s="1303" t="s">
        <v>213</v>
      </c>
      <c r="E8" s="1304"/>
      <c r="F8" s="1305"/>
      <c r="G8" s="1289" t="s">
        <v>832</v>
      </c>
      <c r="H8" s="754"/>
      <c r="I8" s="487" t="s">
        <v>140</v>
      </c>
      <c r="J8" s="487" t="s">
        <v>141</v>
      </c>
      <c r="K8" s="487" t="s">
        <v>142</v>
      </c>
      <c r="L8" s="516" t="s">
        <v>215</v>
      </c>
      <c r="M8" s="516" t="s">
        <v>216</v>
      </c>
      <c r="O8" s="1217"/>
      <c r="P8" s="1218"/>
      <c r="Q8" s="1219"/>
    </row>
    <row r="9" spans="1:17">
      <c r="A9" s="753" t="s">
        <v>36</v>
      </c>
      <c r="B9" s="485"/>
      <c r="C9" s="752">
        <v>15.5</v>
      </c>
      <c r="D9" s="752">
        <v>5.4</v>
      </c>
      <c r="E9" s="752">
        <v>4.5</v>
      </c>
      <c r="F9" s="752">
        <v>2.7</v>
      </c>
      <c r="G9" s="1306"/>
      <c r="H9" s="757"/>
      <c r="I9" s="708">
        <v>0.02</v>
      </c>
      <c r="J9" s="708">
        <v>0.1</v>
      </c>
      <c r="K9" s="898">
        <v>30</v>
      </c>
      <c r="L9" s="899">
        <v>2.5000000000000001E-2</v>
      </c>
      <c r="M9" s="708">
        <v>0.02</v>
      </c>
      <c r="O9" s="1200"/>
      <c r="P9" s="1201"/>
      <c r="Q9" s="1202"/>
    </row>
    <row r="10" spans="1:17" ht="12" customHeight="1">
      <c r="N10" s="493"/>
      <c r="O10" s="1220"/>
      <c r="Q10" s="1221"/>
    </row>
    <row r="11" spans="1:17" ht="14.5" customHeight="1">
      <c r="A11" s="1311" t="s">
        <v>143</v>
      </c>
      <c r="B11" s="1312"/>
      <c r="C11" s="1312"/>
      <c r="D11" s="1312"/>
      <c r="E11" s="494"/>
      <c r="F11" s="495"/>
      <c r="G11" s="495"/>
      <c r="H11" s="495"/>
      <c r="I11" s="495"/>
      <c r="J11" s="495"/>
      <c r="K11" s="494"/>
      <c r="L11" s="494"/>
      <c r="M11" s="496"/>
      <c r="O11" s="1220"/>
      <c r="Q11" s="1221"/>
    </row>
    <row r="12" spans="1:17" ht="2.25" customHeight="1">
      <c r="A12" s="497"/>
      <c r="B12" s="498"/>
      <c r="C12" s="499"/>
      <c r="D12" s="499"/>
      <c r="E12" s="500"/>
      <c r="F12" s="501"/>
      <c r="G12" s="501"/>
      <c r="H12" s="501"/>
      <c r="I12" s="501"/>
      <c r="J12" s="501"/>
      <c r="K12" s="499"/>
      <c r="L12" s="499"/>
      <c r="M12" s="502"/>
      <c r="O12" s="1220"/>
      <c r="Q12" s="1221"/>
    </row>
    <row r="13" spans="1:17">
      <c r="A13" s="1320"/>
      <c r="B13" s="503"/>
      <c r="C13" s="1120"/>
      <c r="D13" s="1120"/>
      <c r="E13" s="1120"/>
      <c r="F13" s="1322" t="s">
        <v>830</v>
      </c>
      <c r="G13" s="1323"/>
      <c r="H13" s="1323"/>
      <c r="I13" s="1324"/>
      <c r="J13" s="1332" t="s">
        <v>20</v>
      </c>
      <c r="K13" s="1333"/>
      <c r="L13" s="1333"/>
      <c r="M13" s="1334"/>
      <c r="O13" s="1220"/>
      <c r="Q13" s="1221"/>
    </row>
    <row r="14" spans="1:17" ht="35.15" customHeight="1">
      <c r="A14" s="1321"/>
      <c r="B14" s="504"/>
      <c r="C14" s="507" t="s">
        <v>0</v>
      </c>
      <c r="D14" s="507" t="s">
        <v>831</v>
      </c>
      <c r="E14" s="507" t="s">
        <v>841</v>
      </c>
      <c r="F14" s="505" t="s">
        <v>144</v>
      </c>
      <c r="G14" s="505" t="s">
        <v>861</v>
      </c>
      <c r="H14" s="1297" t="s">
        <v>221</v>
      </c>
      <c r="I14" s="1298"/>
      <c r="J14" s="505" t="s">
        <v>145</v>
      </c>
      <c r="K14" s="506" t="s">
        <v>146</v>
      </c>
      <c r="L14" s="506" t="s">
        <v>147</v>
      </c>
      <c r="M14" s="507" t="s">
        <v>148</v>
      </c>
      <c r="O14" s="1220"/>
      <c r="Q14" s="1221"/>
    </row>
    <row r="15" spans="1:17" ht="2.25" customHeight="1">
      <c r="A15" s="508"/>
      <c r="B15" s="509"/>
      <c r="C15" s="510"/>
      <c r="D15" s="510"/>
      <c r="E15" s="510"/>
      <c r="F15" s="511"/>
      <c r="G15" s="511"/>
      <c r="H15" s="1299"/>
      <c r="I15" s="1300"/>
      <c r="J15" s="511"/>
      <c r="K15" s="511"/>
      <c r="L15" s="511"/>
      <c r="M15" s="511"/>
      <c r="O15" s="1220"/>
      <c r="Q15" s="1221"/>
    </row>
    <row r="16" spans="1:17" ht="3" customHeight="1">
      <c r="A16" s="512"/>
      <c r="B16" s="512"/>
      <c r="C16" s="512"/>
      <c r="D16" s="512"/>
      <c r="E16" s="512"/>
      <c r="F16" s="513"/>
      <c r="G16" s="513"/>
      <c r="H16" s="513"/>
      <c r="I16" s="513"/>
      <c r="J16" s="513"/>
      <c r="K16" s="513"/>
      <c r="L16" s="513"/>
      <c r="M16" s="513"/>
      <c r="O16" s="1220"/>
      <c r="Q16" s="1221"/>
    </row>
    <row r="17" spans="1:17" ht="37.4" customHeight="1">
      <c r="A17" s="514" t="s">
        <v>139</v>
      </c>
      <c r="B17" s="515"/>
      <c r="C17" s="1294" t="s">
        <v>220</v>
      </c>
      <c r="D17" s="1295"/>
      <c r="E17" s="1296"/>
      <c r="F17" s="516" t="s">
        <v>149</v>
      </c>
      <c r="G17" s="516" t="s">
        <v>837</v>
      </c>
      <c r="H17" s="516" t="s">
        <v>837</v>
      </c>
      <c r="I17" s="517" t="s">
        <v>141</v>
      </c>
      <c r="J17" s="1294" t="s">
        <v>838</v>
      </c>
      <c r="K17" s="1295"/>
      <c r="L17" s="1296"/>
      <c r="M17" s="516" t="s">
        <v>150</v>
      </c>
      <c r="O17" s="1220"/>
      <c r="Q17" s="1221"/>
    </row>
    <row r="18" spans="1:17">
      <c r="A18" s="1335" t="s">
        <v>36</v>
      </c>
      <c r="B18" s="515"/>
      <c r="C18" s="518">
        <v>14</v>
      </c>
      <c r="D18" s="519">
        <f>Auslast_Büro!I29</f>
        <v>0.76700000000000002</v>
      </c>
      <c r="E18" s="520" t="s">
        <v>101</v>
      </c>
      <c r="F18" s="518" t="s">
        <v>158</v>
      </c>
      <c r="G18" s="698">
        <v>1E-3</v>
      </c>
      <c r="H18" s="698">
        <v>1E-3</v>
      </c>
      <c r="I18" s="697">
        <v>30</v>
      </c>
      <c r="J18" s="698">
        <v>6.0000000000000001E-3</v>
      </c>
      <c r="K18" s="698">
        <v>2E-3</v>
      </c>
      <c r="L18" s="518" t="s">
        <v>151</v>
      </c>
      <c r="M18" s="696">
        <v>2.5000000000000001E-2</v>
      </c>
      <c r="O18" s="1200"/>
      <c r="P18" s="1201"/>
      <c r="Q18" s="1202"/>
    </row>
    <row r="19" spans="1:17" ht="14.5" customHeight="1">
      <c r="A19" s="1336"/>
      <c r="B19" s="515"/>
      <c r="C19" s="521"/>
      <c r="D19" s="522"/>
      <c r="E19" s="523"/>
      <c r="F19" s="699" t="s">
        <v>152</v>
      </c>
      <c r="G19" s="700"/>
      <c r="H19" s="700"/>
      <c r="I19" s="701"/>
      <c r="J19" s="700"/>
      <c r="K19" s="700"/>
      <c r="L19" s="768">
        <v>5.3E-3</v>
      </c>
      <c r="M19" s="523"/>
      <c r="O19" s="1220"/>
      <c r="Q19" s="1221"/>
    </row>
    <row r="20" spans="1:17" ht="14.5" customHeight="1">
      <c r="A20" s="514" t="s">
        <v>219</v>
      </c>
      <c r="B20" s="515"/>
      <c r="C20" s="524"/>
      <c r="D20" s="524"/>
      <c r="E20" s="524" t="s">
        <v>829</v>
      </c>
      <c r="F20" s="702"/>
      <c r="G20" s="702" t="s">
        <v>222</v>
      </c>
      <c r="H20" s="702" t="s">
        <v>223</v>
      </c>
      <c r="I20" s="524"/>
      <c r="J20" s="702"/>
      <c r="K20" s="702" t="s">
        <v>224</v>
      </c>
      <c r="L20" s="702"/>
      <c r="M20" s="703"/>
      <c r="O20" s="1200"/>
      <c r="P20" s="1201"/>
      <c r="Q20" s="1202"/>
    </row>
    <row r="21" spans="1:17">
      <c r="A21" s="525"/>
      <c r="B21" s="526"/>
      <c r="C21" s="525"/>
      <c r="D21" s="525"/>
      <c r="E21" s="525"/>
      <c r="F21" s="527"/>
      <c r="G21" s="527"/>
      <c r="H21" s="527"/>
      <c r="I21" s="527"/>
      <c r="J21" s="527"/>
      <c r="K21" s="527"/>
      <c r="L21" s="527"/>
      <c r="M21" s="527"/>
      <c r="O21" s="1220"/>
      <c r="Q21" s="1221"/>
    </row>
    <row r="22" spans="1:17">
      <c r="A22" s="1320"/>
      <c r="B22" s="526"/>
      <c r="C22" s="1325" t="s">
        <v>153</v>
      </c>
      <c r="D22" s="1326"/>
      <c r="E22" s="1327"/>
      <c r="F22" s="1327"/>
      <c r="G22" s="1327"/>
      <c r="H22" s="1327"/>
      <c r="I22" s="1327"/>
      <c r="J22" s="1327"/>
      <c r="K22" s="1327"/>
      <c r="L22" s="1327"/>
      <c r="M22" s="1328"/>
      <c r="O22" s="1220"/>
      <c r="Q22" s="1221"/>
    </row>
    <row r="23" spans="1:17" ht="61.4" customHeight="1">
      <c r="A23" s="1321"/>
      <c r="B23" s="526"/>
      <c r="C23" s="1297" t="s">
        <v>833</v>
      </c>
      <c r="D23" s="1329"/>
      <c r="E23" s="529" t="s">
        <v>226</v>
      </c>
      <c r="F23" s="529" t="s">
        <v>225</v>
      </c>
      <c r="G23" s="529" t="s">
        <v>227</v>
      </c>
      <c r="H23" s="529" t="s">
        <v>856</v>
      </c>
      <c r="I23" s="529" t="s">
        <v>154</v>
      </c>
      <c r="J23" s="529" t="s">
        <v>228</v>
      </c>
      <c r="K23" s="529" t="s">
        <v>51</v>
      </c>
      <c r="L23" s="760"/>
      <c r="M23" s="529" t="s">
        <v>155</v>
      </c>
      <c r="O23" s="1220"/>
      <c r="Q23" s="1221"/>
    </row>
    <row r="24" spans="1:17" ht="2.25" customHeight="1">
      <c r="A24" s="508"/>
      <c r="B24" s="526"/>
      <c r="C24" s="1330"/>
      <c r="D24" s="1331"/>
      <c r="E24" s="530"/>
      <c r="F24" s="530"/>
      <c r="G24" s="530"/>
      <c r="H24" s="530"/>
      <c r="I24" s="530"/>
      <c r="J24" s="530"/>
      <c r="K24" s="530"/>
      <c r="L24" s="761"/>
      <c r="M24" s="530"/>
      <c r="O24" s="1220"/>
      <c r="Q24" s="1221"/>
    </row>
    <row r="25" spans="1:17" ht="3" customHeight="1">
      <c r="A25" s="512"/>
      <c r="B25" s="512"/>
      <c r="C25" s="531"/>
      <c r="D25" s="531"/>
      <c r="E25" s="513"/>
      <c r="F25" s="513"/>
      <c r="G25" s="513"/>
      <c r="H25" s="513"/>
      <c r="I25" s="513"/>
      <c r="J25" s="513"/>
      <c r="K25" s="513"/>
      <c r="L25" s="513"/>
      <c r="M25" s="513"/>
      <c r="O25" s="1220"/>
      <c r="Q25" s="1221"/>
    </row>
    <row r="26" spans="1:17" ht="37.4" customHeight="1">
      <c r="A26" s="514" t="s">
        <v>139</v>
      </c>
      <c r="B26" s="515"/>
      <c r="C26" s="532"/>
      <c r="D26" s="533"/>
      <c r="E26" s="1294" t="s">
        <v>218</v>
      </c>
      <c r="F26" s="1295"/>
      <c r="G26" s="1295"/>
      <c r="H26" s="1295"/>
      <c r="I26" s="1295"/>
      <c r="J26" s="1295"/>
      <c r="K26" s="1296"/>
      <c r="L26" s="762"/>
      <c r="M26" s="516" t="s">
        <v>156</v>
      </c>
      <c r="O26" s="1220"/>
      <c r="Q26" s="1221"/>
    </row>
    <row r="27" spans="1:17">
      <c r="A27" s="514" t="s">
        <v>36</v>
      </c>
      <c r="B27" s="534"/>
      <c r="C27" s="1318" t="s">
        <v>834</v>
      </c>
      <c r="D27" s="1319"/>
      <c r="E27" s="704">
        <v>32</v>
      </c>
      <c r="F27" s="704">
        <v>16</v>
      </c>
      <c r="G27" s="704">
        <v>55</v>
      </c>
      <c r="H27" s="704">
        <v>27</v>
      </c>
      <c r="I27" s="704">
        <v>25</v>
      </c>
      <c r="J27" s="705" t="s">
        <v>157</v>
      </c>
      <c r="K27" s="524">
        <v>40</v>
      </c>
      <c r="L27" s="706"/>
      <c r="M27" s="708">
        <v>0.25</v>
      </c>
      <c r="O27" s="1200"/>
      <c r="P27" s="1201"/>
      <c r="Q27" s="1202"/>
    </row>
    <row r="28" spans="1:17" ht="14.5" customHeight="1">
      <c r="A28" s="514" t="s">
        <v>36</v>
      </c>
      <c r="B28" s="534"/>
      <c r="C28" s="1318" t="s">
        <v>835</v>
      </c>
      <c r="D28" s="1319"/>
      <c r="E28" s="704">
        <f>E27/2</f>
        <v>16</v>
      </c>
      <c r="F28" s="704">
        <v>7.5</v>
      </c>
      <c r="G28" s="704">
        <v>27.5</v>
      </c>
      <c r="H28" s="704">
        <v>13.5</v>
      </c>
      <c r="I28" s="704">
        <v>12.5</v>
      </c>
      <c r="J28" s="705">
        <v>5</v>
      </c>
      <c r="K28" s="524">
        <v>20</v>
      </c>
      <c r="L28" s="707"/>
      <c r="M28" s="708">
        <v>0.25</v>
      </c>
      <c r="O28" s="1200"/>
      <c r="P28" s="1201"/>
      <c r="Q28" s="1202"/>
    </row>
    <row r="29" spans="1:17">
      <c r="A29" s="514" t="s">
        <v>36</v>
      </c>
      <c r="B29" s="526"/>
      <c r="C29" s="1318" t="s">
        <v>836</v>
      </c>
      <c r="D29" s="1319"/>
      <c r="E29" s="524">
        <v>3</v>
      </c>
      <c r="F29" s="524">
        <v>3</v>
      </c>
      <c r="G29" s="524">
        <v>3</v>
      </c>
      <c r="H29" s="524">
        <v>3</v>
      </c>
      <c r="I29" s="524">
        <v>3</v>
      </c>
      <c r="J29" s="705">
        <v>5</v>
      </c>
      <c r="K29" s="524">
        <v>3</v>
      </c>
      <c r="L29" s="706"/>
      <c r="M29" s="708">
        <v>0.25</v>
      </c>
      <c r="O29" s="1200"/>
      <c r="P29" s="1201"/>
      <c r="Q29" s="1202"/>
    </row>
    <row r="30" spans="1:17">
      <c r="A30" s="535"/>
      <c r="B30" s="526"/>
      <c r="C30" s="526"/>
      <c r="D30" s="526"/>
      <c r="E30" s="526"/>
      <c r="F30" s="528"/>
      <c r="G30" s="528"/>
      <c r="H30" s="528"/>
      <c r="I30" s="528"/>
      <c r="J30" s="531"/>
      <c r="K30" s="528"/>
      <c r="L30" s="528"/>
      <c r="M30" s="493" t="str">
        <f>HAW!B28</f>
        <v>Kennwertverfahren NRW für HAW; HIS-Institut für Hochschulentwicklung e.V. (24.04.2026)</v>
      </c>
      <c r="O30" s="1222"/>
      <c r="P30" s="1223"/>
      <c r="Q30" s="1224"/>
    </row>
    <row r="31" spans="1:17">
      <c r="A31" s="536"/>
      <c r="B31" s="536"/>
      <c r="C31" s="536"/>
      <c r="D31" s="536"/>
      <c r="E31" s="536"/>
      <c r="F31" s="537"/>
      <c r="G31" s="537"/>
      <c r="H31" s="537"/>
      <c r="I31" s="537"/>
      <c r="J31" s="537"/>
      <c r="K31" s="537"/>
      <c r="L31" s="537"/>
      <c r="M31" s="537"/>
    </row>
    <row r="32" spans="1:17">
      <c r="A32" s="927" t="s">
        <v>178</v>
      </c>
      <c r="B32" s="536"/>
      <c r="C32" s="536"/>
      <c r="D32" s="536"/>
      <c r="E32" s="536"/>
      <c r="F32" s="537"/>
      <c r="G32" s="537"/>
      <c r="H32" s="537"/>
      <c r="I32" s="537"/>
      <c r="J32" s="537"/>
      <c r="K32" s="537"/>
      <c r="L32" s="537"/>
      <c r="M32" s="537"/>
    </row>
    <row r="34" spans="12:13">
      <c r="L34" s="537"/>
      <c r="M34" s="537"/>
    </row>
    <row r="35" spans="12:13">
      <c r="L35" s="763"/>
      <c r="M35" s="763"/>
    </row>
  </sheetData>
  <sheetProtection sheet="1" selectLockedCells="1"/>
  <mergeCells count="28">
    <mergeCell ref="C29:D29"/>
    <mergeCell ref="A11:D11"/>
    <mergeCell ref="A13:A14"/>
    <mergeCell ref="F13:I13"/>
    <mergeCell ref="A22:A23"/>
    <mergeCell ref="C22:M22"/>
    <mergeCell ref="C23:D24"/>
    <mergeCell ref="C27:D27"/>
    <mergeCell ref="C28:D28"/>
    <mergeCell ref="J13:M13"/>
    <mergeCell ref="A18:A19"/>
    <mergeCell ref="A1:D1"/>
    <mergeCell ref="D3:H3"/>
    <mergeCell ref="D4:F4"/>
    <mergeCell ref="G4:G5"/>
    <mergeCell ref="H4:H5"/>
    <mergeCell ref="J4:K5"/>
    <mergeCell ref="I3:M3"/>
    <mergeCell ref="E26:K26"/>
    <mergeCell ref="C17:E17"/>
    <mergeCell ref="H14:I14"/>
    <mergeCell ref="H15:I15"/>
    <mergeCell ref="J17:L17"/>
    <mergeCell ref="C3:C5"/>
    <mergeCell ref="D8:F8"/>
    <mergeCell ref="I4:I5"/>
    <mergeCell ref="G8:G9"/>
    <mergeCell ref="L4:M5"/>
  </mergeCells>
  <conditionalFormatting sqref="C17">
    <cfRule type="cellIs" dxfId="155" priority="5" stopIfTrue="1" operator="equal">
      <formula>#REF!</formula>
    </cfRule>
  </conditionalFormatting>
  <conditionalFormatting sqref="C26:E26">
    <cfRule type="cellIs" dxfId="154" priority="7" stopIfTrue="1" operator="equal">
      <formula>#REF!</formula>
    </cfRule>
  </conditionalFormatting>
  <conditionalFormatting sqref="C20:L20">
    <cfRule type="cellIs" dxfId="153" priority="2" stopIfTrue="1" operator="equal">
      <formula>#REF!</formula>
    </cfRule>
  </conditionalFormatting>
  <conditionalFormatting sqref="C27:M29">
    <cfRule type="cellIs" dxfId="152" priority="1" stopIfTrue="1" operator="equal">
      <formula>#REF!</formula>
    </cfRule>
  </conditionalFormatting>
  <conditionalFormatting sqref="E11:L12 C12:D12 M17 C18:M19 L26:M26">
    <cfRule type="cellIs" dxfId="151" priority="10" stopIfTrue="1" operator="equal">
      <formula>#REF!</formula>
    </cfRule>
  </conditionalFormatting>
  <conditionalFormatting sqref="F17:J17">
    <cfRule type="cellIs" dxfId="150" priority="4" stopIfTrue="1" operator="equal">
      <formula>#REF!</formula>
    </cfRule>
  </conditionalFormatting>
  <conditionalFormatting sqref="H9:J9">
    <cfRule type="cellIs" dxfId="149" priority="9" stopIfTrue="1" operator="equal">
      <formula>#REF!</formula>
    </cfRule>
  </conditionalFormatting>
  <conditionalFormatting sqref="L8:M9">
    <cfRule type="cellIs" dxfId="148" priority="8" stopIfTrue="1" operator="equal">
      <formula>#REF!</formula>
    </cfRule>
  </conditionalFormatting>
  <pageMargins left="0.70866141732283472" right="0.70866141732283472" top="0.78740157480314965" bottom="0.78740157480314965" header="0.31496062992125984" footer="0.31496062992125984"/>
  <pageSetup paperSize="9" scale="81" orientation="portrait" r:id="rId1"/>
  <headerFooter>
    <oddFooter>&amp;C&amp;8Seite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C012D-942B-4E4E-A56A-DF2C1291D277}">
  <sheetPr codeName="Tabelle2">
    <tabColor theme="8" tint="-0.249977111117893"/>
    <outlinePr summaryBelow="0"/>
    <pageSetUpPr autoPageBreaks="0" fitToPage="1"/>
  </sheetPr>
  <dimension ref="A1:O103"/>
  <sheetViews>
    <sheetView showGridLines="0" showZeros="0" zoomScale="115" zoomScaleNormal="115" zoomScaleSheetLayoutView="115" workbookViewId="0">
      <selection activeCell="A5" sqref="A5"/>
    </sheetView>
  </sheetViews>
  <sheetFormatPr baseColWidth="10" defaultColWidth="10.453125" defaultRowHeight="10"/>
  <cols>
    <col min="1" max="1" width="31.54296875" style="83" customWidth="1"/>
    <col min="2" max="2" width="0.453125" style="83" customWidth="1"/>
    <col min="3" max="8" width="5.81640625" style="787" customWidth="1"/>
    <col min="9" max="9" width="6.453125" style="787" customWidth="1"/>
    <col min="10" max="10" width="5.81640625" style="787" customWidth="1"/>
    <col min="11" max="11" width="0.54296875" style="83" customWidth="1"/>
    <col min="12" max="12" width="10.453125" style="83"/>
    <col min="13" max="15" width="7.26953125" style="83" customWidth="1"/>
    <col min="16" max="16384" width="10.453125" style="83"/>
  </cols>
  <sheetData>
    <row r="1" spans="1:15" ht="22.5" customHeight="1">
      <c r="A1" s="1337"/>
      <c r="B1" s="836"/>
      <c r="C1" s="263" t="s">
        <v>233</v>
      </c>
      <c r="D1" s="257"/>
      <c r="E1" s="257"/>
      <c r="F1" s="257"/>
      <c r="G1" s="257"/>
      <c r="H1" s="257"/>
      <c r="I1" s="1339" t="s">
        <v>234</v>
      </c>
      <c r="J1" s="1340"/>
    </row>
    <row r="2" spans="1:15" ht="22.5" customHeight="1">
      <c r="A2" s="1338"/>
      <c r="B2" s="836"/>
      <c r="C2" s="1267" t="s">
        <v>235</v>
      </c>
      <c r="D2" s="1269"/>
      <c r="E2" s="1342" t="s">
        <v>236</v>
      </c>
      <c r="F2" s="1343"/>
      <c r="G2" s="1269" t="s">
        <v>237</v>
      </c>
      <c r="H2" s="1269"/>
      <c r="I2" s="1341"/>
      <c r="J2" s="1273"/>
    </row>
    <row r="3" spans="1:15" ht="65.150000000000006" customHeight="1">
      <c r="A3" s="1338"/>
      <c r="B3" s="1055"/>
      <c r="C3" s="264" t="s">
        <v>238</v>
      </c>
      <c r="D3" s="266" t="s">
        <v>239</v>
      </c>
      <c r="E3" s="837" t="s">
        <v>238</v>
      </c>
      <c r="F3" s="838" t="s">
        <v>239</v>
      </c>
      <c r="G3" s="272" t="s">
        <v>238</v>
      </c>
      <c r="H3" s="833" t="s">
        <v>239</v>
      </c>
      <c r="I3" s="839" t="s">
        <v>240</v>
      </c>
      <c r="J3" s="264" t="s">
        <v>241</v>
      </c>
    </row>
    <row r="4" spans="1:15" ht="2.25" customHeight="1">
      <c r="A4" s="840"/>
      <c r="B4" s="836"/>
      <c r="C4" s="1057"/>
      <c r="D4" s="841"/>
      <c r="E4" s="842"/>
      <c r="F4" s="843"/>
      <c r="G4" s="844"/>
      <c r="H4" s="841"/>
      <c r="I4" s="845"/>
      <c r="J4" s="846"/>
    </row>
    <row r="5" spans="1:15" ht="6.75" customHeight="1" thickBot="1">
      <c r="A5" s="685"/>
    </row>
    <row r="6" spans="1:15" ht="15" customHeight="1" thickBot="1">
      <c r="B6" s="847" t="s">
        <v>242</v>
      </c>
      <c r="C6" s="848">
        <v>0.9</v>
      </c>
      <c r="D6" s="849"/>
      <c r="E6" s="850">
        <v>0.7</v>
      </c>
      <c r="F6" s="851"/>
      <c r="G6" s="850">
        <v>0.9</v>
      </c>
      <c r="H6" s="852"/>
      <c r="M6" s="78" t="s">
        <v>863</v>
      </c>
    </row>
    <row r="7" spans="1:15" ht="6.75" customHeight="1"/>
    <row r="8" spans="1:15" ht="12.75" customHeight="1">
      <c r="A8" s="472" t="s">
        <v>104</v>
      </c>
      <c r="B8" s="414"/>
      <c r="C8" s="853"/>
      <c r="D8" s="853"/>
      <c r="E8" s="853"/>
      <c r="F8" s="853"/>
      <c r="G8" s="853"/>
      <c r="H8" s="853"/>
      <c r="I8" s="853"/>
      <c r="J8" s="853"/>
      <c r="L8" s="85"/>
      <c r="M8" s="1195"/>
      <c r="N8" s="1196"/>
      <c r="O8" s="1197"/>
    </row>
    <row r="9" spans="1:15" ht="2.25" customHeight="1">
      <c r="C9" s="772"/>
      <c r="D9" s="291"/>
      <c r="E9" s="772"/>
      <c r="F9" s="291"/>
      <c r="G9" s="291"/>
      <c r="H9" s="291"/>
      <c r="I9" s="772"/>
      <c r="J9" s="773"/>
      <c r="L9" s="85"/>
      <c r="M9" s="1198"/>
      <c r="N9" s="85"/>
      <c r="O9" s="1199"/>
    </row>
    <row r="10" spans="1:15" ht="12.75" customHeight="1">
      <c r="A10" s="318" t="s">
        <v>122</v>
      </c>
      <c r="B10" s="1054"/>
      <c r="C10" s="1056">
        <f>C$6</f>
        <v>0.9</v>
      </c>
      <c r="D10" s="774"/>
      <c r="E10" s="885">
        <f>E$6</f>
        <v>0.7</v>
      </c>
      <c r="F10" s="775"/>
      <c r="G10" s="885">
        <f>G$6</f>
        <v>0.9</v>
      </c>
      <c r="H10" s="776"/>
      <c r="I10" s="777">
        <f>ROUND(IF(D10&gt;0,D10,$C$6)*0.289872+IF(F10&gt;0,F10,$E$6)*0.321522+IF(H10&gt;0,H10,$G$6)*0.070333+0.318273,3)</f>
        <v>0.86799999999999999</v>
      </c>
      <c r="J10" s="790">
        <f>ROUND(IF(F10&gt;0,F10,$E$6)*0.75417+IF(H10&gt;0,H10,$G$6)*0.01772+0.22811,3)</f>
        <v>0.77200000000000002</v>
      </c>
      <c r="K10" s="771"/>
      <c r="L10" s="85"/>
      <c r="M10" s="1200"/>
      <c r="N10" s="1201"/>
      <c r="O10" s="1202"/>
    </row>
    <row r="11" spans="1:15" ht="12.75" customHeight="1">
      <c r="A11" s="318" t="s">
        <v>3</v>
      </c>
      <c r="B11" s="1054"/>
      <c r="C11" s="1056">
        <f t="shared" ref="C11:G17" si="0">C$6</f>
        <v>0.9</v>
      </c>
      <c r="D11" s="774"/>
      <c r="E11" s="885">
        <f t="shared" si="0"/>
        <v>0.7</v>
      </c>
      <c r="F11" s="775"/>
      <c r="G11" s="885">
        <f t="shared" si="0"/>
        <v>0.9</v>
      </c>
      <c r="H11" s="776"/>
      <c r="I11" s="777">
        <f>ROUND(IF(D11&gt;0,D11,$C$6)*0.467769+IF(F11&gt;0,F11,$E$6)*0.202076+IF(H11&gt;0,H11,$G$6)*0.036642+0.293513,3)</f>
        <v>0.88900000000000001</v>
      </c>
      <c r="J11" s="790">
        <f>ROUND(IF(F11&gt;0,F11,$E$6)*0.73216+IF(H11&gt;0,H11,$G$6)*0.0577+0.21014,3)</f>
        <v>0.77500000000000002</v>
      </c>
      <c r="K11" s="771"/>
      <c r="L11" s="85"/>
      <c r="M11" s="1200"/>
      <c r="N11" s="1201"/>
      <c r="O11" s="1202"/>
    </row>
    <row r="12" spans="1:15" ht="12.75" customHeight="1">
      <c r="A12" s="318" t="s">
        <v>4</v>
      </c>
      <c r="B12" s="1054"/>
      <c r="C12" s="1056">
        <f t="shared" si="0"/>
        <v>0.9</v>
      </c>
      <c r="D12" s="774"/>
      <c r="E12" s="885">
        <f t="shared" si="0"/>
        <v>0.7</v>
      </c>
      <c r="F12" s="775"/>
      <c r="G12" s="885">
        <f t="shared" si="0"/>
        <v>0.9</v>
      </c>
      <c r="H12" s="776"/>
      <c r="I12" s="777">
        <f>ROUND(IF(D12&gt;0,D12,$C$6)*0.405885+IF(F12&gt;0,F12,$E$6)*0.174664+IF(H12&gt;0,H12,$G$6)*0.099848+0.319603,3)</f>
        <v>0.89700000000000002</v>
      </c>
      <c r="J12" s="790">
        <f>ROUND(IF(F12&gt;0,F12,$E$6)*0.72793+IF(H12&gt;0,H12,$G$6)*0.0096+0.26247,3)</f>
        <v>0.78100000000000003</v>
      </c>
      <c r="K12" s="771"/>
      <c r="L12" s="85"/>
      <c r="M12" s="1200"/>
      <c r="N12" s="1201"/>
      <c r="O12" s="1202"/>
    </row>
    <row r="13" spans="1:15" ht="12.75" customHeight="1">
      <c r="A13" s="318" t="s">
        <v>5</v>
      </c>
      <c r="B13" s="1054"/>
      <c r="C13" s="1056">
        <f t="shared" si="0"/>
        <v>0.9</v>
      </c>
      <c r="D13" s="774"/>
      <c r="E13" s="885">
        <f t="shared" si="0"/>
        <v>0.7</v>
      </c>
      <c r="F13" s="775"/>
      <c r="G13" s="885">
        <f t="shared" si="0"/>
        <v>0.9</v>
      </c>
      <c r="H13" s="776"/>
      <c r="I13" s="777">
        <f>ROUND(IF(D13&gt;0,D13,$C$6)*0.320942+IF(F13&gt;0,F13,$E$6)*0.289943+IF(H13&gt;0,H13,$G$6)*0.072758+0.316356,3)</f>
        <v>0.874</v>
      </c>
      <c r="J13" s="790">
        <f>ROUND(IF(F13&gt;0,F13,$E$6)*0.75417+IF(H13&gt;0,H13,$G$6)*0.01772+0.22811,3)</f>
        <v>0.77200000000000002</v>
      </c>
      <c r="K13" s="771"/>
      <c r="L13" s="85"/>
      <c r="M13" s="1200"/>
      <c r="N13" s="1201"/>
      <c r="O13" s="1202"/>
    </row>
    <row r="14" spans="1:15" ht="12.75" customHeight="1">
      <c r="A14" s="318" t="s">
        <v>17</v>
      </c>
      <c r="B14" s="1054"/>
      <c r="C14" s="1056">
        <f t="shared" si="0"/>
        <v>0.9</v>
      </c>
      <c r="D14" s="774"/>
      <c r="E14" s="885">
        <f t="shared" si="0"/>
        <v>0.7</v>
      </c>
      <c r="F14" s="775"/>
      <c r="G14" s="885">
        <f t="shared" si="0"/>
        <v>0.9</v>
      </c>
      <c r="H14" s="776"/>
      <c r="I14" s="777">
        <f>ROUND(IF(D14&gt;0,D14,$C$6)*0.323316+IF(F14&gt;0,F14,$E$6)*0.303134+IF(H14&gt;0,H14,$G$6)*0.039173+0.334377,3)</f>
        <v>0.873</v>
      </c>
      <c r="J14" s="790">
        <f>ROUND(IF(F14&gt;0,F14,$E$6)*0.75417+IF(H14&gt;0,H14,$G$6)*0.01772+0.22811,3)</f>
        <v>0.77200000000000002</v>
      </c>
      <c r="K14" s="771"/>
      <c r="L14" s="85"/>
      <c r="M14" s="1200"/>
      <c r="N14" s="1201"/>
      <c r="O14" s="1202"/>
    </row>
    <row r="15" spans="1:15" ht="12.75" customHeight="1">
      <c r="A15" s="318" t="s">
        <v>6</v>
      </c>
      <c r="B15" s="1054"/>
      <c r="C15" s="1056">
        <f t="shared" si="0"/>
        <v>0.9</v>
      </c>
      <c r="D15" s="774"/>
      <c r="E15" s="885">
        <f t="shared" si="0"/>
        <v>0.7</v>
      </c>
      <c r="F15" s="775"/>
      <c r="G15" s="885">
        <f t="shared" si="0"/>
        <v>0.9</v>
      </c>
      <c r="H15" s="776"/>
      <c r="I15" s="777">
        <f>ROUND(IF(D15&gt;0,D15,$C$6)*0.383996+IF(F15&gt;0,F15,$E$6)*0.239687+IF(H15&gt;0,H15,$G$6)*0.031806+0.344512,3)</f>
        <v>0.88700000000000001</v>
      </c>
      <c r="J15" s="790">
        <f>ROUND(IF(F15&gt;0,F15,$E$6)*0.73216+IF(H15&gt;0,H15,$G$6)*0.0577+0.21014,3)</f>
        <v>0.77500000000000002</v>
      </c>
      <c r="K15" s="771"/>
      <c r="L15" s="85"/>
      <c r="M15" s="1200"/>
      <c r="N15" s="1201"/>
      <c r="O15" s="1202"/>
    </row>
    <row r="16" spans="1:15" ht="12.75" customHeight="1">
      <c r="A16" s="318" t="s">
        <v>7</v>
      </c>
      <c r="B16" s="1054"/>
      <c r="C16" s="1056">
        <f t="shared" si="0"/>
        <v>0.9</v>
      </c>
      <c r="D16" s="774"/>
      <c r="E16" s="885">
        <f t="shared" si="0"/>
        <v>0.7</v>
      </c>
      <c r="F16" s="775"/>
      <c r="G16" s="885">
        <f t="shared" si="0"/>
        <v>0.9</v>
      </c>
      <c r="H16" s="776"/>
      <c r="I16" s="777">
        <f>ROUND(IF(D16&gt;0,D16,$C$6)*0.356362+IF(F16&gt;0,F16,$E$6)*0.260813+IF(H16&gt;0,H16,$G$6)*0.069813+0.313012,3)</f>
        <v>0.879</v>
      </c>
      <c r="J16" s="790">
        <f>ROUND(IF(F16&gt;0,F16,$E$6)*0.75417+IF(H16&gt;0,H16,$G$6)*0.01772+0.22811,3)</f>
        <v>0.77200000000000002</v>
      </c>
      <c r="K16" s="771"/>
      <c r="L16" s="85"/>
      <c r="M16" s="1200"/>
      <c r="N16" s="1201"/>
      <c r="O16" s="1202"/>
    </row>
    <row r="17" spans="1:15" ht="12.75" customHeight="1">
      <c r="A17" s="318" t="s">
        <v>105</v>
      </c>
      <c r="B17" s="1054"/>
      <c r="C17" s="1056">
        <f t="shared" si="0"/>
        <v>0.9</v>
      </c>
      <c r="D17" s="774"/>
      <c r="E17" s="885">
        <f t="shared" si="0"/>
        <v>0.7</v>
      </c>
      <c r="F17" s="775"/>
      <c r="G17" s="885">
        <f t="shared" si="0"/>
        <v>0.9</v>
      </c>
      <c r="H17" s="776"/>
      <c r="I17" s="777">
        <f>ROUND(IF(D17&gt;0,D17,$C$6)*0.441132+IF(F17&gt;0,F17,$E$6)*0.20308+IF(H17&gt;0,H17,$G$6)*0.045225+0.310563,3)</f>
        <v>0.89</v>
      </c>
      <c r="J17" s="790">
        <f>ROUND(IF(F17&gt;0,F17,$E$6)*0.75417+IF(H17&gt;0,H17,$G$6)*0.01772+0.22811,3)</f>
        <v>0.77200000000000002</v>
      </c>
      <c r="K17" s="771"/>
      <c r="L17" s="85"/>
      <c r="M17" s="1200"/>
      <c r="N17" s="1201"/>
      <c r="O17" s="1202"/>
    </row>
    <row r="18" spans="1:15" ht="6.75" customHeight="1">
      <c r="C18" s="772"/>
      <c r="D18" s="291"/>
      <c r="E18" s="772"/>
      <c r="F18" s="291"/>
      <c r="G18" s="772"/>
      <c r="H18" s="291"/>
      <c r="I18" s="772"/>
      <c r="J18" s="773"/>
      <c r="L18" s="85"/>
      <c r="M18" s="1198"/>
      <c r="N18" s="85"/>
      <c r="O18" s="1199"/>
    </row>
    <row r="19" spans="1:15" ht="12.75" customHeight="1">
      <c r="A19" s="476" t="s">
        <v>243</v>
      </c>
      <c r="B19" s="379"/>
      <c r="C19" s="778"/>
      <c r="D19" s="778"/>
      <c r="E19" s="778"/>
      <c r="F19" s="778"/>
      <c r="G19" s="778"/>
      <c r="H19" s="778"/>
      <c r="I19" s="778"/>
      <c r="J19" s="778"/>
      <c r="M19" s="1211"/>
      <c r="O19" s="1212"/>
    </row>
    <row r="20" spans="1:15" ht="2.25" customHeight="1">
      <c r="C20" s="772"/>
      <c r="D20" s="291"/>
      <c r="E20" s="772"/>
      <c r="F20" s="291"/>
      <c r="G20" s="772"/>
      <c r="H20" s="291"/>
      <c r="I20" s="772"/>
      <c r="J20" s="773"/>
      <c r="M20" s="1211"/>
      <c r="O20" s="1212"/>
    </row>
    <row r="21" spans="1:15" ht="12.75" customHeight="1">
      <c r="A21" s="95" t="s">
        <v>21</v>
      </c>
      <c r="B21" s="1054"/>
      <c r="C21" s="1056">
        <f t="shared" ref="C21:G25" si="1">C$6</f>
        <v>0.9</v>
      </c>
      <c r="D21" s="779"/>
      <c r="E21" s="885">
        <f t="shared" si="1"/>
        <v>0.7</v>
      </c>
      <c r="F21" s="780"/>
      <c r="G21" s="885">
        <f t="shared" si="1"/>
        <v>0.9</v>
      </c>
      <c r="H21" s="781"/>
      <c r="I21" s="777">
        <f>ROUND(IF(D21&gt;0,D21,$C$6)*0.405885+IF(F21&gt;0,F21,$E$6)*0.174664+IF(H21&gt;0,H21,$G$6)*0.099848+0.319603,3)</f>
        <v>0.89700000000000002</v>
      </c>
      <c r="J21" s="790">
        <f>ROUND(IF(F21&gt;0,F21,$E$6)*0.72793+IF(H21&gt;0,H21,$G$6)*0.0096+0.26247,3)</f>
        <v>0.78100000000000003</v>
      </c>
      <c r="M21" s="1200"/>
      <c r="N21" s="1201"/>
      <c r="O21" s="1202"/>
    </row>
    <row r="22" spans="1:15" ht="12.65" customHeight="1">
      <c r="A22" s="288" t="s">
        <v>106</v>
      </c>
      <c r="B22" s="1054"/>
      <c r="C22" s="1056">
        <f t="shared" si="1"/>
        <v>0.9</v>
      </c>
      <c r="D22" s="779"/>
      <c r="E22" s="885">
        <f t="shared" si="1"/>
        <v>0.7</v>
      </c>
      <c r="F22" s="780"/>
      <c r="G22" s="885">
        <f t="shared" si="1"/>
        <v>0.9</v>
      </c>
      <c r="H22" s="781"/>
      <c r="I22" s="777">
        <f>ROUND(IF(D22&gt;0,D22,$C$6)*0.289872+IF(F22&gt;0,F22,$E$6)*0.321522+IF(H22&gt;0,H22,$G$6)*0.070333+0.318273,3)</f>
        <v>0.86799999999999999</v>
      </c>
      <c r="J22" s="790">
        <f>ROUND(IF(F22&gt;0,F22,$E$6)*0.72793+IF(H22&gt;0,H22,$G$6)*0.0096+0.26247,3)</f>
        <v>0.78100000000000003</v>
      </c>
      <c r="M22" s="1200"/>
      <c r="N22" s="1201"/>
      <c r="O22" s="1202"/>
    </row>
    <row r="23" spans="1:15" ht="12.75" customHeight="1">
      <c r="A23" s="288" t="s">
        <v>107</v>
      </c>
      <c r="B23" s="1054"/>
      <c r="C23" s="1056">
        <f t="shared" si="1"/>
        <v>0.9</v>
      </c>
      <c r="D23" s="779"/>
      <c r="E23" s="885">
        <f t="shared" si="1"/>
        <v>0.7</v>
      </c>
      <c r="F23" s="780"/>
      <c r="G23" s="885">
        <f t="shared" si="1"/>
        <v>0.9</v>
      </c>
      <c r="H23" s="781"/>
      <c r="I23" s="777">
        <f>ROUND(IF(D23&gt;0,D23,$C$6)*0.374448+IF(F23&gt;0,F23,$E$6)*0.244531+IF(H23&gt;0,H23,$G$6)*0.065777+0.315244,3)</f>
        <v>0.88300000000000001</v>
      </c>
      <c r="J23" s="790">
        <f>ROUND(IF(F23&gt;0,F23,$E$6)*0.72793+IF(H23&gt;0,H23,$G$6)*0.0096+0.26247,3)</f>
        <v>0.78100000000000003</v>
      </c>
      <c r="M23" s="1200"/>
      <c r="N23" s="1201"/>
      <c r="O23" s="1202"/>
    </row>
    <row r="24" spans="1:15" ht="12.65" customHeight="1">
      <c r="A24" s="288" t="s">
        <v>188</v>
      </c>
      <c r="B24" s="1054"/>
      <c r="C24" s="1056">
        <f t="shared" si="1"/>
        <v>0.9</v>
      </c>
      <c r="D24" s="779"/>
      <c r="E24" s="885">
        <f t="shared" si="1"/>
        <v>0.7</v>
      </c>
      <c r="F24" s="780"/>
      <c r="G24" s="885">
        <f t="shared" si="1"/>
        <v>0.9</v>
      </c>
      <c r="H24" s="781"/>
      <c r="I24" s="777">
        <f>ROUND(IF(D24&gt;0,D24,$C$6)*0.374448+IF(F24&gt;0,F24,$E$6)*0.244531+IF(H24&gt;0,H24,$G$6)*0.065777+0.315244,3)</f>
        <v>0.88300000000000001</v>
      </c>
      <c r="J24" s="790">
        <f>ROUND(IF(F24&gt;0,F24,$E$6)*0.72793+IF(H24&gt;0,H24,$G$6)*0.0096+0.26247,3)</f>
        <v>0.78100000000000003</v>
      </c>
      <c r="M24" s="1200"/>
      <c r="N24" s="1201"/>
      <c r="O24" s="1202"/>
    </row>
    <row r="25" spans="1:15" ht="12.75" customHeight="1">
      <c r="A25" s="288" t="s">
        <v>10</v>
      </c>
      <c r="B25" s="1054"/>
      <c r="C25" s="1056">
        <f t="shared" si="1"/>
        <v>0.9</v>
      </c>
      <c r="D25" s="779"/>
      <c r="E25" s="885">
        <f t="shared" si="1"/>
        <v>0.7</v>
      </c>
      <c r="F25" s="780"/>
      <c r="G25" s="885">
        <f t="shared" si="1"/>
        <v>0.9</v>
      </c>
      <c r="H25" s="781"/>
      <c r="I25" s="777">
        <f>ROUND(IF(D25&gt;0,D25,$C$6)*0.441132+IF(F25&gt;0,F25,$E$6)*0.20308+IF(H25&gt;0,H25,$G$6)*0.045225+0.310563,3)</f>
        <v>0.89</v>
      </c>
      <c r="J25" s="790">
        <f>ROUND(IF(F25&gt;0,F25,$E$6)*0.72793+IF(H25&gt;0,H25,$G$6)*0.0096+0.26247,3)</f>
        <v>0.78100000000000003</v>
      </c>
      <c r="M25" s="1200"/>
      <c r="N25" s="1201"/>
      <c r="O25" s="1202"/>
    </row>
    <row r="26" spans="1:15" s="85" customFormat="1" ht="6.75" customHeight="1">
      <c r="C26" s="772"/>
      <c r="D26" s="291"/>
      <c r="E26" s="772"/>
      <c r="F26" s="291"/>
      <c r="G26" s="291"/>
      <c r="H26" s="291"/>
      <c r="I26" s="772"/>
      <c r="J26" s="771"/>
      <c r="L26" s="83"/>
      <c r="M26" s="1211"/>
      <c r="N26" s="83"/>
      <c r="O26" s="1212"/>
    </row>
    <row r="27" spans="1:15" ht="12.75" customHeight="1">
      <c r="A27" s="451" t="s">
        <v>53</v>
      </c>
      <c r="B27" s="452"/>
      <c r="C27" s="782"/>
      <c r="D27" s="782"/>
      <c r="E27" s="782"/>
      <c r="F27" s="782"/>
      <c r="G27" s="782"/>
      <c r="H27" s="782"/>
      <c r="I27" s="782"/>
      <c r="J27" s="782"/>
      <c r="M27" s="1211"/>
      <c r="O27" s="1212"/>
    </row>
    <row r="28" spans="1:15" ht="2.25" customHeight="1">
      <c r="C28" s="772"/>
      <c r="D28" s="291"/>
      <c r="E28" s="772"/>
      <c r="F28" s="291"/>
      <c r="G28" s="291"/>
      <c r="H28" s="291"/>
      <c r="I28" s="772"/>
      <c r="J28" s="773"/>
      <c r="M28" s="1211"/>
      <c r="O28" s="1212"/>
    </row>
    <row r="29" spans="1:15" ht="12.75" customHeight="1">
      <c r="A29" s="318" t="s">
        <v>40</v>
      </c>
      <c r="B29" s="1054"/>
      <c r="C29" s="786"/>
      <c r="D29" s="783"/>
      <c r="E29" s="886">
        <v>0.7</v>
      </c>
      <c r="F29" s="784">
        <f>H29</f>
        <v>0</v>
      </c>
      <c r="G29" s="887">
        <v>0.7</v>
      </c>
      <c r="H29" s="785"/>
      <c r="I29" s="777">
        <f>ROUND(IF(F29&gt;0,F29,E29)*0.021505+IF(H29&gt;0,H29,G29)*0.756718+0.221776,3)</f>
        <v>0.76700000000000002</v>
      </c>
      <c r="J29" s="786"/>
      <c r="K29" s="771"/>
      <c r="M29" s="1200"/>
      <c r="N29" s="1201"/>
      <c r="O29" s="1202"/>
    </row>
    <row r="30" spans="1:15" ht="12.75" customHeight="1">
      <c r="A30" s="318" t="s">
        <v>35</v>
      </c>
      <c r="B30" s="1054"/>
      <c r="C30" s="786"/>
      <c r="D30" s="783"/>
      <c r="E30" s="886">
        <v>0.7</v>
      </c>
      <c r="F30" s="784">
        <f>H30</f>
        <v>0</v>
      </c>
      <c r="G30" s="887">
        <v>0.7</v>
      </c>
      <c r="H30" s="785"/>
      <c r="I30" s="777">
        <f>ROUND(IF(F30&gt;0,F30,E30)*0.021505+IF(H30&gt;0,H30,G30)*0.756718+0.221776,3)</f>
        <v>0.76700000000000002</v>
      </c>
      <c r="J30" s="786"/>
      <c r="K30" s="771"/>
      <c r="M30" s="1200"/>
      <c r="N30" s="1201"/>
      <c r="O30" s="1202"/>
    </row>
    <row r="31" spans="1:15">
      <c r="J31" s="835" t="str">
        <f>HAW!B28</f>
        <v>Kennwertverfahren NRW für HAW; HIS-Institut für Hochschulentwicklung e.V. (24.04.2026)</v>
      </c>
      <c r="M31" s="1205"/>
      <c r="N31" s="1206"/>
      <c r="O31" s="1207"/>
    </row>
    <row r="32" spans="1:15">
      <c r="J32" s="316"/>
      <c r="M32" s="1229"/>
      <c r="N32" s="1229"/>
      <c r="O32" s="791"/>
    </row>
    <row r="33" spans="1:15" ht="13">
      <c r="A33" s="926" t="s">
        <v>244</v>
      </c>
      <c r="J33" s="83"/>
      <c r="M33" s="1229"/>
      <c r="N33" s="1229"/>
      <c r="O33" s="791"/>
    </row>
    <row r="34" spans="1:15">
      <c r="M34" s="1229"/>
      <c r="N34" s="1229"/>
      <c r="O34" s="791"/>
    </row>
    <row r="35" spans="1:15">
      <c r="M35" s="1229"/>
      <c r="N35" s="1229"/>
      <c r="O35" s="791"/>
    </row>
    <row r="36" spans="1:15">
      <c r="M36" s="1229"/>
      <c r="N36" s="1229"/>
      <c r="O36" s="791"/>
    </row>
    <row r="37" spans="1:15">
      <c r="M37" s="1229"/>
      <c r="N37" s="1229"/>
      <c r="O37" s="791"/>
    </row>
    <row r="38" spans="1:15">
      <c r="M38" s="1229"/>
      <c r="N38" s="1229"/>
      <c r="O38" s="791"/>
    </row>
    <row r="39" spans="1:15">
      <c r="L39" s="85"/>
      <c r="M39" s="85"/>
      <c r="N39" s="85"/>
      <c r="O39" s="85"/>
    </row>
    <row r="42" spans="1:15">
      <c r="M42" s="1229"/>
      <c r="N42" s="1229"/>
      <c r="O42" s="791"/>
    </row>
    <row r="43" spans="1:15">
      <c r="M43" s="1229"/>
      <c r="N43" s="1229"/>
      <c r="O43" s="791"/>
    </row>
    <row r="83" spans="1:15" s="787" customFormat="1" ht="13">
      <c r="A83" s="85"/>
      <c r="B83" s="79"/>
      <c r="K83" s="83"/>
      <c r="L83" s="83"/>
      <c r="M83" s="83"/>
      <c r="N83" s="83"/>
      <c r="O83" s="83"/>
    </row>
    <row r="90" spans="1:15" s="85" customFormat="1" ht="15" customHeight="1">
      <c r="A90" s="83"/>
      <c r="B90" s="83"/>
      <c r="C90" s="787"/>
      <c r="D90" s="787"/>
      <c r="E90" s="787"/>
      <c r="F90" s="787"/>
      <c r="G90" s="787"/>
      <c r="H90" s="787"/>
      <c r="I90" s="787"/>
      <c r="J90" s="787"/>
      <c r="L90" s="83"/>
      <c r="M90" s="83"/>
      <c r="N90" s="83"/>
      <c r="O90" s="83"/>
    </row>
    <row r="96" spans="1:15">
      <c r="L96" s="787"/>
      <c r="M96" s="787"/>
      <c r="N96" s="787"/>
      <c r="O96" s="787"/>
    </row>
    <row r="103" spans="12:15">
      <c r="L103" s="85"/>
      <c r="M103" s="85"/>
      <c r="N103" s="85"/>
      <c r="O103" s="85"/>
    </row>
  </sheetData>
  <sheetProtection algorithmName="SHA-512" hashValue="36Ukq6aYg4bz+1x9J8vkY7PRSV4Nkxk7LZPBiFCa/+HWxNkjq7Kh0gwc0V/7+WA0YZ3L2F2pWs2zbekekF6SSA==" saltValue="cafGUb8cY0dpjPMgMVyBPg==" spinCount="100000" sheet="1" selectLockedCells="1"/>
  <mergeCells count="5">
    <mergeCell ref="A1:A3"/>
    <mergeCell ref="I1:J2"/>
    <mergeCell ref="C2:D2"/>
    <mergeCell ref="E2:F2"/>
    <mergeCell ref="G2:H2"/>
  </mergeCells>
  <conditionalFormatting sqref="C6:H6">
    <cfRule type="cellIs" dxfId="147" priority="36" stopIfTrue="1" operator="equal">
      <formula>#REF!</formula>
    </cfRule>
  </conditionalFormatting>
  <conditionalFormatting sqref="C10:J17">
    <cfRule type="cellIs" dxfId="146" priority="4" stopIfTrue="1" operator="equal">
      <formula>#REF!</formula>
    </cfRule>
  </conditionalFormatting>
  <conditionalFormatting sqref="C21:J25">
    <cfRule type="cellIs" dxfId="145" priority="1" stopIfTrue="1" operator="equal">
      <formula>#REF!</formula>
    </cfRule>
  </conditionalFormatting>
  <conditionalFormatting sqref="C29:J30">
    <cfRule type="cellIs" dxfId="144" priority="32" stopIfTrue="1" operator="equal">
      <formula>#REF!</formula>
    </cfRule>
  </conditionalFormatting>
  <dataValidations count="2">
    <dataValidation type="list" allowBlank="1" showInputMessage="1" showErrorMessage="1" sqref="H29 F10:F17 F21:F25" xr:uid="{7BD8AC97-B4D2-4055-BB56-12A77F094D39}">
      <mc:AlternateContent xmlns:x12ac="http://schemas.microsoft.com/office/spreadsheetml/2011/1/ac" xmlns:mc="http://schemas.openxmlformats.org/markup-compatibility/2006">
        <mc:Choice Requires="x12ac">
          <x12ac:list>"0,5","0,55","0,6","0,65","0,7","0,75","0,8","0,85","0,9","0,95",1</x12ac:list>
        </mc:Choice>
        <mc:Fallback>
          <formula1>"0,5,0,55,0,6,0,65,0,7,0,75,0,8,0,85,0,9,0,95,1"</formula1>
        </mc:Fallback>
      </mc:AlternateContent>
    </dataValidation>
    <dataValidation type="list" allowBlank="1" showInputMessage="1" showErrorMessage="1" sqref="H30 D10:D17 H10:H17 D21:D25 H21:H25" xr:uid="{41F6E532-8E2B-4041-A741-5EB39D134502}">
      <mc:AlternateContent xmlns:x12ac="http://schemas.microsoft.com/office/spreadsheetml/2011/1/ac" xmlns:mc="http://schemas.openxmlformats.org/markup-compatibility/2006">
        <mc:Choice Requires="x12ac">
          <x12ac:list>"0,5","0,6","0,7","0,8","0,9","1,0"</x12ac:list>
        </mc:Choice>
        <mc:Fallback>
          <formula1>"0,5,0,6,0,7,0,8,0,9,1,0"</formula1>
        </mc:Fallback>
      </mc:AlternateContent>
    </dataValidation>
  </dataValidations>
  <pageMargins left="0.78740157480314965" right="0.78740157480314965" top="0.78740157480314965" bottom="0.59055118110236227" header="0.51181102362204722" footer="0.27559055118110237"/>
  <pageSetup paperSize="9" orientation="landscape" r:id="rId1"/>
  <headerFooter alignWithMargins="0">
    <oddFooter>&amp;C&amp;8Seite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ED4B1-DC40-4FC2-B4BE-106971FE89CB}">
  <sheetPr codeName="Tabelle4">
    <tabColor theme="8" tint="-0.499984740745262"/>
    <outlinePr summaryBelow="0"/>
    <pageSetUpPr autoPageBreaks="0"/>
  </sheetPr>
  <dimension ref="A1:Q111"/>
  <sheetViews>
    <sheetView showGridLines="0" showZeros="0" zoomScale="115" zoomScaleNormal="115" zoomScaleSheetLayoutView="115" workbookViewId="0">
      <selection activeCell="A17" sqref="A17"/>
    </sheetView>
  </sheetViews>
  <sheetFormatPr baseColWidth="10" defaultColWidth="10.453125" defaultRowHeight="10"/>
  <cols>
    <col min="1" max="2" width="19.1796875" style="83" customWidth="1"/>
    <col min="3" max="3" width="27.54296875" style="83" customWidth="1"/>
    <col min="4" max="4" width="0.81640625" style="83" customWidth="1"/>
    <col min="5" max="13" width="5.453125" style="83" customWidth="1"/>
    <col min="14" max="14" width="9.453125" style="83" customWidth="1"/>
    <col min="15" max="15" width="1.1796875" style="83" customWidth="1"/>
    <col min="16" max="17" width="7.81640625" style="83" customWidth="1"/>
    <col min="18" max="16384" width="10.453125" style="83"/>
  </cols>
  <sheetData>
    <row r="1" spans="1:17" s="80" customFormat="1" ht="22.5" customHeight="1">
      <c r="A1" s="1344" t="s">
        <v>64</v>
      </c>
      <c r="B1" s="1345"/>
      <c r="C1" s="1346"/>
      <c r="E1" s="1347" t="s">
        <v>23</v>
      </c>
      <c r="F1" s="1348"/>
      <c r="G1" s="1348"/>
      <c r="H1" s="1348"/>
      <c r="I1" s="1348"/>
      <c r="J1" s="1348"/>
      <c r="K1" s="1348"/>
      <c r="L1" s="1348"/>
      <c r="M1" s="1348"/>
      <c r="N1" s="1349" t="s">
        <v>18</v>
      </c>
      <c r="P1" s="1351" t="s">
        <v>187</v>
      </c>
      <c r="Q1" s="1352"/>
    </row>
    <row r="2" spans="1:17" s="80" customFormat="1" ht="64.5" customHeight="1">
      <c r="A2" s="231" t="s">
        <v>62</v>
      </c>
      <c r="B2" s="232" t="s">
        <v>63</v>
      </c>
      <c r="C2" s="233" t="s">
        <v>8</v>
      </c>
      <c r="D2" s="81"/>
      <c r="E2" s="746" t="s">
        <v>0</v>
      </c>
      <c r="F2" s="894" t="s">
        <v>298</v>
      </c>
      <c r="G2" s="746" t="s">
        <v>197</v>
      </c>
      <c r="H2" s="746" t="s">
        <v>159</v>
      </c>
      <c r="I2" s="746" t="s">
        <v>204</v>
      </c>
      <c r="J2" s="748" t="s">
        <v>297</v>
      </c>
      <c r="K2" s="746" t="s">
        <v>20</v>
      </c>
      <c r="L2" s="746" t="s">
        <v>205</v>
      </c>
      <c r="M2" s="746" t="s">
        <v>206</v>
      </c>
      <c r="N2" s="1350"/>
      <c r="P2" s="748" t="s">
        <v>862</v>
      </c>
      <c r="Q2" s="748" t="s">
        <v>860</v>
      </c>
    </row>
    <row r="3" spans="1:17" s="80" customFormat="1" ht="2.25" customHeight="1">
      <c r="A3" s="82"/>
      <c r="B3" s="200"/>
      <c r="C3" s="200"/>
      <c r="D3" s="81"/>
      <c r="E3" s="747"/>
      <c r="F3" s="747"/>
      <c r="G3" s="747"/>
      <c r="H3" s="747"/>
      <c r="I3" s="747"/>
      <c r="J3" s="747"/>
      <c r="K3" s="747"/>
      <c r="L3" s="747"/>
      <c r="M3" s="747"/>
      <c r="N3" s="749"/>
      <c r="P3" s="747"/>
      <c r="Q3" s="747"/>
    </row>
    <row r="4" spans="1:17" ht="4.5" customHeight="1" thickBot="1">
      <c r="C4" s="85"/>
      <c r="D4" s="85"/>
      <c r="E4" s="85"/>
      <c r="F4" s="85"/>
      <c r="G4" s="85"/>
      <c r="H4" s="85"/>
      <c r="I4" s="85"/>
      <c r="J4" s="85"/>
      <c r="K4" s="85"/>
      <c r="L4" s="85"/>
      <c r="M4" s="85"/>
      <c r="N4" s="750"/>
    </row>
    <row r="5" spans="1:17" ht="15" customHeight="1" thickBot="1">
      <c r="A5" s="471" t="s">
        <v>121</v>
      </c>
      <c r="B5" s="415"/>
      <c r="C5" s="416"/>
      <c r="D5" s="87"/>
      <c r="E5" s="417">
        <f t="shared" ref="E5:J5" si="0">SUM(E9:E51)</f>
        <v>0</v>
      </c>
      <c r="F5" s="418">
        <f t="shared" si="0"/>
        <v>0</v>
      </c>
      <c r="G5" s="418">
        <f t="shared" si="0"/>
        <v>0</v>
      </c>
      <c r="H5" s="418">
        <f t="shared" si="0"/>
        <v>0</v>
      </c>
      <c r="I5" s="418">
        <f t="shared" si="0"/>
        <v>0</v>
      </c>
      <c r="J5" s="418">
        <f t="shared" si="0"/>
        <v>0</v>
      </c>
      <c r="K5" s="418">
        <f>SUM(K9:K51)</f>
        <v>0</v>
      </c>
      <c r="L5" s="418">
        <f>SUM(L9:L51)</f>
        <v>0</v>
      </c>
      <c r="M5" s="418">
        <f>SUM(M9:M51)</f>
        <v>0</v>
      </c>
      <c r="N5" s="419">
        <f>N7+N28+N46</f>
        <v>0</v>
      </c>
      <c r="P5" s="417">
        <f t="shared" ref="P5" si="1">SUM(P9:P51)</f>
        <v>0</v>
      </c>
      <c r="Q5" s="712">
        <f>SUM(Q9:Q44)</f>
        <v>0</v>
      </c>
    </row>
    <row r="6" spans="1:17" ht="4.5" customHeight="1">
      <c r="N6" s="84"/>
    </row>
    <row r="7" spans="1:17" s="85" customFormat="1" ht="15" customHeight="1">
      <c r="A7" s="472" t="s">
        <v>104</v>
      </c>
      <c r="B7" s="414"/>
      <c r="C7" s="414"/>
      <c r="D7" s="414"/>
      <c r="E7" s="414"/>
      <c r="F7" s="414"/>
      <c r="G7" s="414"/>
      <c r="H7" s="414"/>
      <c r="I7" s="414"/>
      <c r="J7" s="414"/>
      <c r="K7" s="414"/>
      <c r="L7" s="414"/>
      <c r="M7" s="414"/>
      <c r="N7" s="477">
        <f>SUM(N9:N26)</f>
        <v>0</v>
      </c>
      <c r="P7" s="414"/>
      <c r="Q7" s="414"/>
    </row>
    <row r="8" spans="1:17" s="85" customFormat="1" ht="2.25" customHeight="1">
      <c r="C8" s="86"/>
      <c r="N8" s="87"/>
    </row>
    <row r="9" spans="1:17" s="85" customFormat="1" ht="15" customHeight="1">
      <c r="A9" s="124" t="str">
        <f>Naturwiss!B9</f>
        <v>[Fakultät/Fachbereich]</v>
      </c>
      <c r="B9" s="124" t="str">
        <f>Naturwiss!B10</f>
        <v>[Department, Institut o.a.]</v>
      </c>
      <c r="C9" s="124" t="str">
        <f>Naturwiss!B13</f>
        <v>Angewandte Naturwissenschaften</v>
      </c>
      <c r="E9" s="88">
        <f>Naturwiss!H34</f>
        <v>0</v>
      </c>
      <c r="F9" s="88">
        <f>Naturwiss!I34+Naturwiss!M34</f>
        <v>0</v>
      </c>
      <c r="G9" s="88">
        <f>Naturwiss!J34</f>
        <v>0</v>
      </c>
      <c r="H9" s="88">
        <f>Naturwiss!K34</f>
        <v>0</v>
      </c>
      <c r="I9" s="88">
        <f>Naturwiss!L34</f>
        <v>0</v>
      </c>
      <c r="J9" s="480"/>
      <c r="K9" s="88">
        <f>Naturwiss!N34</f>
        <v>0</v>
      </c>
      <c r="L9" s="88">
        <f>Naturwiss!O34</f>
        <v>0</v>
      </c>
      <c r="M9" s="480"/>
      <c r="N9" s="89">
        <f t="shared" ref="N9:N26" si="2">SUM(E9:M9)</f>
        <v>0</v>
      </c>
      <c r="P9" s="88">
        <f>Naturwiss!P30</f>
        <v>0</v>
      </c>
      <c r="Q9" s="88">
        <f>Naturwiss!P11</f>
        <v>0</v>
      </c>
    </row>
    <row r="10" spans="1:17" s="85" customFormat="1" ht="15" customHeight="1">
      <c r="A10" s="124" t="str">
        <f>Mathe!B9</f>
        <v>[Fakultät/Fachbereich]</v>
      </c>
      <c r="B10" s="124" t="str">
        <f>Mathe!B10</f>
        <v>[Department, Institut o.a.]</v>
      </c>
      <c r="C10" s="124" t="str">
        <f>Mathe!B13</f>
        <v>Mathematik</v>
      </c>
      <c r="E10" s="88">
        <f>Mathe!H34</f>
        <v>0</v>
      </c>
      <c r="F10" s="88">
        <f>Mathe!I34+Mathe!M34</f>
        <v>0</v>
      </c>
      <c r="G10" s="480"/>
      <c r="H10" s="480"/>
      <c r="I10" s="88">
        <f>Mathe!L34</f>
        <v>0</v>
      </c>
      <c r="J10" s="480"/>
      <c r="K10" s="88">
        <f>Mathe!N34</f>
        <v>0</v>
      </c>
      <c r="L10" s="88">
        <f>Mathe!O34</f>
        <v>0</v>
      </c>
      <c r="M10" s="480"/>
      <c r="N10" s="90">
        <f t="shared" si="2"/>
        <v>0</v>
      </c>
      <c r="P10" s="88">
        <f>Mathe!P30</f>
        <v>0</v>
      </c>
      <c r="Q10" s="88">
        <f>Mathe!P11</f>
        <v>0</v>
      </c>
    </row>
    <row r="11" spans="1:17" ht="15" customHeight="1">
      <c r="A11" s="125" t="str">
        <f>Arch!B9</f>
        <v>[Fakultät/Fachbereich]</v>
      </c>
      <c r="B11" s="125" t="str">
        <f>Arch!B10</f>
        <v>[Department, Institut o.a.]</v>
      </c>
      <c r="C11" s="125" t="str">
        <f>Arch!B13</f>
        <v>Architektur</v>
      </c>
      <c r="E11" s="88">
        <f>Arch!H34</f>
        <v>0</v>
      </c>
      <c r="F11" s="88">
        <f>Arch!I34+Arch!M34</f>
        <v>0</v>
      </c>
      <c r="G11" s="480"/>
      <c r="H11" s="480"/>
      <c r="I11" s="88">
        <f>Arch!L34</f>
        <v>0</v>
      </c>
      <c r="J11" s="480"/>
      <c r="K11" s="88">
        <f>Arch!N34</f>
        <v>0</v>
      </c>
      <c r="L11" s="88">
        <f>Arch!O34</f>
        <v>0</v>
      </c>
      <c r="M11" s="480"/>
      <c r="N11" s="90">
        <f t="shared" si="2"/>
        <v>0</v>
      </c>
      <c r="P11" s="88">
        <f>Arch!P30</f>
        <v>0</v>
      </c>
      <c r="Q11" s="88">
        <f>Arch!P11</f>
        <v>0</v>
      </c>
    </row>
    <row r="12" spans="1:17" ht="15" customHeight="1">
      <c r="A12" s="125" t="str">
        <f>Bauing!B9</f>
        <v>[Fakultät/Fachbereich]</v>
      </c>
      <c r="B12" s="125" t="str">
        <f>Bauing!B10</f>
        <v>[Department, Institut o.a.]</v>
      </c>
      <c r="C12" s="125" t="str">
        <f>Bauing!B13</f>
        <v>Bauingenieurwesen</v>
      </c>
      <c r="E12" s="88">
        <f>Bauing!H34</f>
        <v>0</v>
      </c>
      <c r="F12" s="88">
        <f>Bauing!I34+Bauing!M34</f>
        <v>0</v>
      </c>
      <c r="G12" s="88">
        <f>Bauing!J34</f>
        <v>0</v>
      </c>
      <c r="H12" s="88">
        <f>Bauing!K34</f>
        <v>0</v>
      </c>
      <c r="I12" s="88">
        <f>Bauing!L34</f>
        <v>0</v>
      </c>
      <c r="J12" s="480"/>
      <c r="K12" s="88">
        <f>Bauing!N34</f>
        <v>0</v>
      </c>
      <c r="L12" s="88">
        <f>Bauing!O34</f>
        <v>0</v>
      </c>
      <c r="M12" s="480"/>
      <c r="N12" s="90">
        <f t="shared" si="2"/>
        <v>0</v>
      </c>
      <c r="P12" s="88">
        <f>Bauing!P30</f>
        <v>0</v>
      </c>
      <c r="Q12" s="88">
        <f>Bauing!P11</f>
        <v>0</v>
      </c>
    </row>
    <row r="13" spans="1:17" ht="15" customHeight="1">
      <c r="A13" s="125" t="str">
        <f>'E-I-Technik'!B9</f>
        <v>[Fakultät/Fachbereich]</v>
      </c>
      <c r="B13" s="125" t="str">
        <f>'E-I-Technik'!B10</f>
        <v>[Department, Institut o.a.]</v>
      </c>
      <c r="C13" s="125" t="str">
        <f>'E-I-Technik'!B13</f>
        <v>Elektro- und Informationstechnik</v>
      </c>
      <c r="E13" s="88">
        <f>'E-I-Technik'!H34</f>
        <v>0</v>
      </c>
      <c r="F13" s="88">
        <f>'E-I-Technik'!I34+'E-I-Technik'!M34</f>
        <v>0</v>
      </c>
      <c r="G13" s="88">
        <f>'E-I-Technik'!J34</f>
        <v>0</v>
      </c>
      <c r="H13" s="88">
        <f>'E-I-Technik'!K34</f>
        <v>0</v>
      </c>
      <c r="I13" s="88">
        <f>'E-I-Technik'!L34</f>
        <v>0</v>
      </c>
      <c r="J13" s="480"/>
      <c r="K13" s="88">
        <f>'E-I-Technik'!N34</f>
        <v>0</v>
      </c>
      <c r="L13" s="88">
        <f>'E-I-Technik'!O34</f>
        <v>0</v>
      </c>
      <c r="M13" s="480"/>
      <c r="N13" s="90">
        <f t="shared" si="2"/>
        <v>0</v>
      </c>
      <c r="P13" s="88">
        <f>'E-I-Technik'!P30</f>
        <v>0</v>
      </c>
      <c r="Q13" s="88">
        <f>'E-I-Technik'!P11</f>
        <v>0</v>
      </c>
    </row>
    <row r="14" spans="1:17" ht="15" customHeight="1">
      <c r="A14" s="125" t="str">
        <f>Informatik!B9</f>
        <v>[Fakultät/Fachbereich]</v>
      </c>
      <c r="B14" s="125" t="str">
        <f>Informatik!B10</f>
        <v>[Department, Institut o.a.]</v>
      </c>
      <c r="C14" s="125" t="str">
        <f>Informatik!B13</f>
        <v>Informatik</v>
      </c>
      <c r="E14" s="88">
        <f>Informatik!H34</f>
        <v>0</v>
      </c>
      <c r="F14" s="88">
        <f>Informatik!I34+Informatik!M34</f>
        <v>0</v>
      </c>
      <c r="G14" s="88">
        <f>Informatik!J34</f>
        <v>0</v>
      </c>
      <c r="H14" s="88">
        <f>Informatik!K34</f>
        <v>0</v>
      </c>
      <c r="I14" s="88">
        <f>Informatik!L34</f>
        <v>0</v>
      </c>
      <c r="J14" s="480"/>
      <c r="K14" s="88">
        <f>Informatik!N34</f>
        <v>0</v>
      </c>
      <c r="L14" s="88">
        <f>Informatik!O34</f>
        <v>0</v>
      </c>
      <c r="M14" s="480"/>
      <c r="N14" s="90">
        <f t="shared" si="2"/>
        <v>0</v>
      </c>
      <c r="P14" s="88">
        <f>Informatik!P30</f>
        <v>0</v>
      </c>
      <c r="Q14" s="88">
        <f>Informatik!P11</f>
        <v>0</v>
      </c>
    </row>
    <row r="15" spans="1:17" ht="15" customHeight="1">
      <c r="A15" s="125" t="str">
        <f>Maschbau!B9</f>
        <v>[Fakultät/Fachbereich]</v>
      </c>
      <c r="B15" s="125" t="str">
        <f>Maschbau!B10</f>
        <v>[Department, Institut o.a.]</v>
      </c>
      <c r="C15" s="125" t="str">
        <f>Maschbau!B13</f>
        <v>Maschinenbau</v>
      </c>
      <c r="E15" s="88">
        <f>Maschbau!H34</f>
        <v>0</v>
      </c>
      <c r="F15" s="88">
        <f>Maschbau!I34+Maschbau!M34</f>
        <v>0</v>
      </c>
      <c r="G15" s="88">
        <f>Maschbau!J34</f>
        <v>0</v>
      </c>
      <c r="H15" s="88">
        <f>Maschbau!K34</f>
        <v>0</v>
      </c>
      <c r="I15" s="88">
        <f>Maschbau!L34</f>
        <v>0</v>
      </c>
      <c r="J15" s="480"/>
      <c r="K15" s="88">
        <f>Maschbau!N34</f>
        <v>0</v>
      </c>
      <c r="L15" s="88">
        <f>Maschbau!O34</f>
        <v>0</v>
      </c>
      <c r="M15" s="480"/>
      <c r="N15" s="90">
        <f t="shared" si="2"/>
        <v>0</v>
      </c>
      <c r="P15" s="88">
        <f>Maschbau!P30</f>
        <v>0</v>
      </c>
      <c r="Q15" s="88">
        <f>Maschbau!P11</f>
        <v>0</v>
      </c>
    </row>
    <row r="16" spans="1:17" ht="15" customHeight="1">
      <c r="A16" s="125" t="str">
        <f>'Wi-ing'!B9</f>
        <v>[Fakultät/Fachbereich]</v>
      </c>
      <c r="B16" s="125" t="str">
        <f>'Wi-ing'!B10</f>
        <v>[Department, Institut o.a.]</v>
      </c>
      <c r="C16" s="125" t="str">
        <f>'Wi-ing'!B13</f>
        <v>Wirtschaftsingenieurwesen</v>
      </c>
      <c r="E16" s="88">
        <f>'Wi-ing'!H34</f>
        <v>0</v>
      </c>
      <c r="F16" s="88">
        <f>'Wi-ing'!I34+'Wi-ing'!M34</f>
        <v>0</v>
      </c>
      <c r="G16" s="88">
        <f>'Wi-ing'!J34</f>
        <v>0</v>
      </c>
      <c r="H16" s="88">
        <f>'Wi-ing'!K34</f>
        <v>0</v>
      </c>
      <c r="I16" s="88">
        <f>'Wi-ing'!L34</f>
        <v>0</v>
      </c>
      <c r="J16" s="480"/>
      <c r="K16" s="88">
        <f>'Wi-ing'!N34</f>
        <v>0</v>
      </c>
      <c r="L16" s="88">
        <f>'Wi-ing'!O34</f>
        <v>0</v>
      </c>
      <c r="M16" s="480"/>
      <c r="N16" s="90">
        <f t="shared" si="2"/>
        <v>0</v>
      </c>
      <c r="P16" s="88">
        <f>'Wi-ing'!P30</f>
        <v>0</v>
      </c>
      <c r="Q16" s="88">
        <f>'Wi-ing'!P11</f>
        <v>0</v>
      </c>
    </row>
    <row r="17" spans="1:17" ht="15" customHeight="1">
      <c r="A17" s="126"/>
      <c r="B17" s="126"/>
      <c r="C17" s="126"/>
      <c r="D17" s="685"/>
      <c r="E17" s="91"/>
      <c r="F17" s="91"/>
      <c r="G17" s="91"/>
      <c r="H17" s="91"/>
      <c r="I17" s="91"/>
      <c r="J17" s="480"/>
      <c r="K17" s="91"/>
      <c r="L17" s="92"/>
      <c r="M17" s="480"/>
      <c r="N17" s="90">
        <f t="shared" si="2"/>
        <v>0</v>
      </c>
      <c r="P17" s="91"/>
      <c r="Q17" s="91"/>
    </row>
    <row r="18" spans="1:17" ht="15" customHeight="1">
      <c r="A18" s="126"/>
      <c r="B18" s="126"/>
      <c r="C18" s="126"/>
      <c r="D18" s="685"/>
      <c r="E18" s="91"/>
      <c r="F18" s="91"/>
      <c r="G18" s="91"/>
      <c r="H18" s="91"/>
      <c r="I18" s="91"/>
      <c r="J18" s="480"/>
      <c r="K18" s="91"/>
      <c r="L18" s="92"/>
      <c r="M18" s="480"/>
      <c r="N18" s="90">
        <f t="shared" si="2"/>
        <v>0</v>
      </c>
      <c r="P18" s="91"/>
      <c r="Q18" s="91"/>
    </row>
    <row r="19" spans="1:17" ht="15" customHeight="1">
      <c r="A19" s="126"/>
      <c r="B19" s="126"/>
      <c r="C19" s="126"/>
      <c r="D19" s="685"/>
      <c r="E19" s="91"/>
      <c r="F19" s="91"/>
      <c r="G19" s="91"/>
      <c r="H19" s="91"/>
      <c r="I19" s="91"/>
      <c r="J19" s="480"/>
      <c r="K19" s="91"/>
      <c r="L19" s="92"/>
      <c r="M19" s="480"/>
      <c r="N19" s="90">
        <f t="shared" si="2"/>
        <v>0</v>
      </c>
      <c r="P19" s="91"/>
      <c r="Q19" s="91"/>
    </row>
    <row r="20" spans="1:17" ht="15" customHeight="1">
      <c r="A20" s="126"/>
      <c r="B20" s="126"/>
      <c r="C20" s="126"/>
      <c r="D20" s="685"/>
      <c r="E20" s="91"/>
      <c r="F20" s="91"/>
      <c r="G20" s="91"/>
      <c r="H20" s="91"/>
      <c r="I20" s="91"/>
      <c r="J20" s="480"/>
      <c r="K20" s="91"/>
      <c r="L20" s="92"/>
      <c r="M20" s="480"/>
      <c r="N20" s="90">
        <f t="shared" si="2"/>
        <v>0</v>
      </c>
      <c r="P20" s="91"/>
      <c r="Q20" s="91"/>
    </row>
    <row r="21" spans="1:17" ht="15" customHeight="1">
      <c r="A21" s="126"/>
      <c r="B21" s="126"/>
      <c r="C21" s="126"/>
      <c r="D21" s="685"/>
      <c r="E21" s="91"/>
      <c r="F21" s="91"/>
      <c r="G21" s="91"/>
      <c r="H21" s="91"/>
      <c r="I21" s="91"/>
      <c r="J21" s="480"/>
      <c r="K21" s="91"/>
      <c r="L21" s="92"/>
      <c r="M21" s="480"/>
      <c r="N21" s="90">
        <f t="shared" si="2"/>
        <v>0</v>
      </c>
      <c r="P21" s="91"/>
      <c r="Q21" s="91"/>
    </row>
    <row r="22" spans="1:17" ht="15" customHeight="1">
      <c r="A22" s="126"/>
      <c r="B22" s="126"/>
      <c r="C22" s="126"/>
      <c r="D22" s="685"/>
      <c r="E22" s="91"/>
      <c r="F22" s="91"/>
      <c r="G22" s="91"/>
      <c r="H22" s="91"/>
      <c r="I22" s="91"/>
      <c r="J22" s="480"/>
      <c r="K22" s="91"/>
      <c r="L22" s="92"/>
      <c r="M22" s="480"/>
      <c r="N22" s="90">
        <f t="shared" si="2"/>
        <v>0</v>
      </c>
      <c r="P22" s="91"/>
      <c r="Q22" s="91"/>
    </row>
    <row r="23" spans="1:17" ht="15" customHeight="1">
      <c r="A23" s="126"/>
      <c r="B23" s="126"/>
      <c r="C23" s="126"/>
      <c r="D23" s="685"/>
      <c r="E23" s="91"/>
      <c r="F23" s="91"/>
      <c r="G23" s="91"/>
      <c r="H23" s="91"/>
      <c r="I23" s="91"/>
      <c r="J23" s="480"/>
      <c r="K23" s="91"/>
      <c r="L23" s="92"/>
      <c r="M23" s="480"/>
      <c r="N23" s="90">
        <f t="shared" si="2"/>
        <v>0</v>
      </c>
      <c r="P23" s="91"/>
      <c r="Q23" s="91"/>
    </row>
    <row r="24" spans="1:17" ht="15" customHeight="1">
      <c r="A24" s="126"/>
      <c r="B24" s="126"/>
      <c r="C24" s="126"/>
      <c r="D24" s="685"/>
      <c r="E24" s="91"/>
      <c r="F24" s="91"/>
      <c r="G24" s="91"/>
      <c r="H24" s="91"/>
      <c r="I24" s="91"/>
      <c r="J24" s="480"/>
      <c r="K24" s="91"/>
      <c r="L24" s="92"/>
      <c r="M24" s="480"/>
      <c r="N24" s="90">
        <f t="shared" si="2"/>
        <v>0</v>
      </c>
      <c r="P24" s="91"/>
      <c r="Q24" s="91"/>
    </row>
    <row r="25" spans="1:17" ht="15" customHeight="1">
      <c r="A25" s="126"/>
      <c r="B25" s="126"/>
      <c r="C25" s="126"/>
      <c r="D25" s="685"/>
      <c r="E25" s="91"/>
      <c r="F25" s="91"/>
      <c r="G25" s="91"/>
      <c r="H25" s="91"/>
      <c r="I25" s="91"/>
      <c r="J25" s="480"/>
      <c r="K25" s="91"/>
      <c r="L25" s="92"/>
      <c r="M25" s="480"/>
      <c r="N25" s="90">
        <f t="shared" si="2"/>
        <v>0</v>
      </c>
      <c r="P25" s="91"/>
      <c r="Q25" s="91"/>
    </row>
    <row r="26" spans="1:17" ht="15" customHeight="1">
      <c r="A26" s="126"/>
      <c r="B26" s="126"/>
      <c r="C26" s="126"/>
      <c r="D26" s="685"/>
      <c r="E26" s="91"/>
      <c r="F26" s="91"/>
      <c r="G26" s="91"/>
      <c r="H26" s="91"/>
      <c r="I26" s="91"/>
      <c r="J26" s="480"/>
      <c r="K26" s="91"/>
      <c r="L26" s="92"/>
      <c r="M26" s="480"/>
      <c r="N26" s="90">
        <f t="shared" si="2"/>
        <v>0</v>
      </c>
      <c r="P26" s="91"/>
      <c r="Q26" s="91"/>
    </row>
    <row r="27" spans="1:17" ht="6.75" customHeight="1">
      <c r="N27" s="94"/>
    </row>
    <row r="28" spans="1:17" ht="15" customHeight="1">
      <c r="A28" s="476" t="s">
        <v>128</v>
      </c>
      <c r="B28" s="379"/>
      <c r="C28" s="379"/>
      <c r="D28" s="379"/>
      <c r="E28" s="379"/>
      <c r="F28" s="379"/>
      <c r="G28" s="379"/>
      <c r="H28" s="379"/>
      <c r="I28" s="379"/>
      <c r="J28" s="379"/>
      <c r="K28" s="379"/>
      <c r="L28" s="379"/>
      <c r="M28" s="379"/>
      <c r="N28" s="478">
        <f>SUM(N30:N44)</f>
        <v>0</v>
      </c>
      <c r="P28" s="379"/>
      <c r="Q28" s="379"/>
    </row>
    <row r="29" spans="1:17" ht="2.25" customHeight="1">
      <c r="N29" s="93"/>
    </row>
    <row r="30" spans="1:17" ht="15" customHeight="1">
      <c r="A30" s="95" t="str">
        <f>Design!B9</f>
        <v>[Fakultät/Fachbereich]</v>
      </c>
      <c r="B30" s="95" t="str">
        <f>Design!B10</f>
        <v>[Department, Institut o.a.]</v>
      </c>
      <c r="C30" s="95" t="str">
        <f>Design!B13</f>
        <v>Design, Gestaltung</v>
      </c>
      <c r="E30" s="88">
        <f>Design!H34</f>
        <v>0</v>
      </c>
      <c r="F30" s="88">
        <f>Design!I34+Design!M34</f>
        <v>0</v>
      </c>
      <c r="G30" s="480"/>
      <c r="H30" s="480"/>
      <c r="I30" s="88">
        <f>Design!L34</f>
        <v>0</v>
      </c>
      <c r="J30" s="480"/>
      <c r="K30" s="88">
        <f>Design!N34</f>
        <v>0</v>
      </c>
      <c r="L30" s="88">
        <f>Design!O34</f>
        <v>0</v>
      </c>
      <c r="M30" s="480"/>
      <c r="N30" s="89">
        <f t="shared" ref="N30:N44" si="3">SUM(E30:M30)</f>
        <v>0</v>
      </c>
      <c r="P30" s="88">
        <f>Design!P30</f>
        <v>0</v>
      </c>
      <c r="Q30" s="88">
        <f>Design!P11</f>
        <v>0</v>
      </c>
    </row>
    <row r="31" spans="1:17" ht="15" customHeight="1">
      <c r="A31" s="95" t="str">
        <f>Ernährung!B9</f>
        <v>[Fakultät/Fachbereich]</v>
      </c>
      <c r="B31" s="95" t="str">
        <f>Ernährung!B10</f>
        <v>[Department, Institut o.a.]</v>
      </c>
      <c r="C31" s="95" t="str">
        <f>Ernährung!B13</f>
        <v>Ernährungswissenschaften</v>
      </c>
      <c r="E31" s="88">
        <f>Ernährung!H34</f>
        <v>0</v>
      </c>
      <c r="F31" s="88">
        <f>Ernährung!I34+Ernährung!M34</f>
        <v>0</v>
      </c>
      <c r="G31" s="480"/>
      <c r="H31" s="480"/>
      <c r="I31" s="88">
        <f>Ernährung!L34</f>
        <v>0</v>
      </c>
      <c r="J31" s="480"/>
      <c r="K31" s="88">
        <f>Ernährung!N34</f>
        <v>0</v>
      </c>
      <c r="L31" s="88">
        <f>Ernährung!O34</f>
        <v>0</v>
      </c>
      <c r="M31" s="480"/>
      <c r="N31" s="90">
        <f t="shared" si="3"/>
        <v>0</v>
      </c>
      <c r="P31" s="88">
        <f>Ernährung!P30</f>
        <v>0</v>
      </c>
      <c r="Q31" s="88">
        <f>Ernährung!P11</f>
        <v>0</v>
      </c>
    </row>
    <row r="32" spans="1:17" ht="15" customHeight="1">
      <c r="A32" s="95" t="str">
        <f>Gesund!B9</f>
        <v>[Fakultät/Fachbereich]</v>
      </c>
      <c r="B32" s="95" t="str">
        <f>Gesund!B10</f>
        <v>[Department, Institut o.a.]</v>
      </c>
      <c r="C32" s="95" t="str">
        <f>Gesund!B13</f>
        <v>Gesundheits- und Pflegewissenschaften</v>
      </c>
      <c r="E32" s="88">
        <f>Gesund!H34</f>
        <v>0</v>
      </c>
      <c r="F32" s="88">
        <f>Gesund!I34+Gesund!M34</f>
        <v>0</v>
      </c>
      <c r="G32" s="480"/>
      <c r="H32" s="480"/>
      <c r="I32" s="88">
        <f>Gesund!L34</f>
        <v>0</v>
      </c>
      <c r="J32" s="480"/>
      <c r="K32" s="88">
        <f>Gesund!N34</f>
        <v>0</v>
      </c>
      <c r="L32" s="88">
        <f>Gesund!O34</f>
        <v>0</v>
      </c>
      <c r="M32" s="480"/>
      <c r="N32" s="90">
        <f t="shared" si="3"/>
        <v>0</v>
      </c>
      <c r="P32" s="88">
        <f>Gesund!P30</f>
        <v>0</v>
      </c>
      <c r="Q32" s="88">
        <f>Gesund!P11</f>
        <v>0</v>
      </c>
    </row>
    <row r="33" spans="1:17" ht="15" customHeight="1">
      <c r="A33" s="95" t="str">
        <f>Sowi!B9</f>
        <v>[Fakultät/Fachbereich]</v>
      </c>
      <c r="B33" s="95" t="str">
        <f>Sowi!B10</f>
        <v>[Department, Institut o.a.]</v>
      </c>
      <c r="C33" s="95" t="str">
        <f>Sowi!B13</f>
        <v>Sozial- und Erziehungswissenschaften</v>
      </c>
      <c r="E33" s="88">
        <f>Sowi!H34</f>
        <v>0</v>
      </c>
      <c r="F33" s="88">
        <f>Sowi!I34+Sowi!M34</f>
        <v>0</v>
      </c>
      <c r="G33" s="480"/>
      <c r="H33" s="480"/>
      <c r="I33" s="88">
        <f>Sowi!L34</f>
        <v>0</v>
      </c>
      <c r="J33" s="480"/>
      <c r="K33" s="88">
        <f>Sowi!N34</f>
        <v>0</v>
      </c>
      <c r="L33" s="88">
        <f>Sowi!O34</f>
        <v>0</v>
      </c>
      <c r="M33" s="480"/>
      <c r="N33" s="90">
        <f t="shared" si="3"/>
        <v>0</v>
      </c>
      <c r="P33" s="88">
        <f>Sowi!P30</f>
        <v>0</v>
      </c>
      <c r="Q33" s="88">
        <f>Sowi!P11</f>
        <v>0</v>
      </c>
    </row>
    <row r="34" spans="1:17" ht="15" customHeight="1">
      <c r="A34" s="95" t="str">
        <f>Wiwi!B9</f>
        <v>[Fakultät/Fachbereich]</v>
      </c>
      <c r="B34" s="95" t="str">
        <f>Wiwi!B10</f>
        <v>[Department, Institut o.a.]</v>
      </c>
      <c r="C34" s="95" t="str">
        <f>Wiwi!B13</f>
        <v>Wirtschaftswissenschaften</v>
      </c>
      <c r="E34" s="88">
        <f>Wiwi!H34</f>
        <v>0</v>
      </c>
      <c r="F34" s="88">
        <f>Wiwi!I34+Wiwi!M34</f>
        <v>0</v>
      </c>
      <c r="G34" s="480"/>
      <c r="H34" s="480"/>
      <c r="I34" s="88">
        <f>Wiwi!L34</f>
        <v>0</v>
      </c>
      <c r="J34" s="480"/>
      <c r="K34" s="88">
        <f>Wiwi!N34</f>
        <v>0</v>
      </c>
      <c r="L34" s="88">
        <f>Wiwi!O34</f>
        <v>0</v>
      </c>
      <c r="M34" s="480"/>
      <c r="N34" s="90">
        <f t="shared" si="3"/>
        <v>0</v>
      </c>
      <c r="P34" s="88">
        <f>Wiwi!P30</f>
        <v>0</v>
      </c>
      <c r="Q34" s="88">
        <f>Wiwi!P11</f>
        <v>0</v>
      </c>
    </row>
    <row r="35" spans="1:17" ht="15" customHeight="1">
      <c r="A35" s="126"/>
      <c r="B35" s="126"/>
      <c r="C35" s="126"/>
      <c r="D35" s="685"/>
      <c r="E35" s="91"/>
      <c r="F35" s="91"/>
      <c r="G35" s="91"/>
      <c r="H35" s="91"/>
      <c r="I35" s="91"/>
      <c r="J35" s="480"/>
      <c r="K35" s="91"/>
      <c r="L35" s="92"/>
      <c r="M35" s="480"/>
      <c r="N35" s="90">
        <f t="shared" si="3"/>
        <v>0</v>
      </c>
      <c r="P35" s="91"/>
      <c r="Q35" s="91"/>
    </row>
    <row r="36" spans="1:17" ht="15" customHeight="1">
      <c r="A36" s="127"/>
      <c r="B36" s="127"/>
      <c r="C36" s="127"/>
      <c r="D36" s="685"/>
      <c r="E36" s="91"/>
      <c r="F36" s="91"/>
      <c r="G36" s="91"/>
      <c r="H36" s="91"/>
      <c r="I36" s="91"/>
      <c r="J36" s="480"/>
      <c r="K36" s="91"/>
      <c r="L36" s="92"/>
      <c r="M36" s="480"/>
      <c r="N36" s="90">
        <f t="shared" si="3"/>
        <v>0</v>
      </c>
      <c r="P36" s="91"/>
      <c r="Q36" s="91"/>
    </row>
    <row r="37" spans="1:17" ht="15" customHeight="1">
      <c r="A37" s="127"/>
      <c r="B37" s="127"/>
      <c r="C37" s="127"/>
      <c r="D37" s="685"/>
      <c r="E37" s="91"/>
      <c r="F37" s="91"/>
      <c r="G37" s="91"/>
      <c r="H37" s="91"/>
      <c r="I37" s="91"/>
      <c r="J37" s="480"/>
      <c r="K37" s="91"/>
      <c r="L37" s="92"/>
      <c r="M37" s="480"/>
      <c r="N37" s="90">
        <f t="shared" si="3"/>
        <v>0</v>
      </c>
      <c r="P37" s="91"/>
      <c r="Q37" s="91"/>
    </row>
    <row r="38" spans="1:17" ht="15" customHeight="1">
      <c r="A38" s="127"/>
      <c r="B38" s="127"/>
      <c r="C38" s="127"/>
      <c r="D38" s="685"/>
      <c r="E38" s="91"/>
      <c r="F38" s="91"/>
      <c r="G38" s="91"/>
      <c r="H38" s="91"/>
      <c r="I38" s="91"/>
      <c r="J38" s="480"/>
      <c r="K38" s="91"/>
      <c r="L38" s="92"/>
      <c r="M38" s="480"/>
      <c r="N38" s="90">
        <f t="shared" si="3"/>
        <v>0</v>
      </c>
      <c r="P38" s="91"/>
      <c r="Q38" s="91"/>
    </row>
    <row r="39" spans="1:17" ht="15" customHeight="1">
      <c r="A39" s="127"/>
      <c r="B39" s="127"/>
      <c r="C39" s="127"/>
      <c r="D39" s="685"/>
      <c r="E39" s="91"/>
      <c r="F39" s="91"/>
      <c r="G39" s="91"/>
      <c r="H39" s="91"/>
      <c r="I39" s="91"/>
      <c r="J39" s="480"/>
      <c r="K39" s="91"/>
      <c r="L39" s="92"/>
      <c r="M39" s="480"/>
      <c r="N39" s="90">
        <f t="shared" si="3"/>
        <v>0</v>
      </c>
      <c r="P39" s="91"/>
      <c r="Q39" s="91"/>
    </row>
    <row r="40" spans="1:17" ht="15" customHeight="1">
      <c r="A40" s="127"/>
      <c r="B40" s="127"/>
      <c r="C40" s="127"/>
      <c r="D40" s="685"/>
      <c r="E40" s="91"/>
      <c r="F40" s="91"/>
      <c r="G40" s="91"/>
      <c r="H40" s="91"/>
      <c r="I40" s="91"/>
      <c r="J40" s="480"/>
      <c r="K40" s="91"/>
      <c r="L40" s="92"/>
      <c r="M40" s="480"/>
      <c r="N40" s="90">
        <f t="shared" si="3"/>
        <v>0</v>
      </c>
      <c r="P40" s="91"/>
      <c r="Q40" s="91"/>
    </row>
    <row r="41" spans="1:17" ht="15" customHeight="1">
      <c r="A41" s="127"/>
      <c r="B41" s="127"/>
      <c r="C41" s="127"/>
      <c r="D41" s="685"/>
      <c r="E41" s="91"/>
      <c r="F41" s="91"/>
      <c r="G41" s="91"/>
      <c r="H41" s="91"/>
      <c r="I41" s="91"/>
      <c r="J41" s="480"/>
      <c r="K41" s="91"/>
      <c r="L41" s="92"/>
      <c r="M41" s="480"/>
      <c r="N41" s="90">
        <f t="shared" si="3"/>
        <v>0</v>
      </c>
      <c r="P41" s="91"/>
      <c r="Q41" s="91"/>
    </row>
    <row r="42" spans="1:17" ht="15" customHeight="1">
      <c r="A42" s="127"/>
      <c r="B42" s="127"/>
      <c r="C42" s="127"/>
      <c r="D42" s="685"/>
      <c r="E42" s="91"/>
      <c r="F42" s="91"/>
      <c r="G42" s="91"/>
      <c r="H42" s="91"/>
      <c r="I42" s="91"/>
      <c r="J42" s="480"/>
      <c r="K42" s="91"/>
      <c r="L42" s="92"/>
      <c r="M42" s="480"/>
      <c r="N42" s="90">
        <f t="shared" si="3"/>
        <v>0</v>
      </c>
      <c r="P42" s="91"/>
      <c r="Q42" s="91"/>
    </row>
    <row r="43" spans="1:17" ht="15" customHeight="1">
      <c r="A43" s="127"/>
      <c r="B43" s="127"/>
      <c r="C43" s="127"/>
      <c r="D43" s="685"/>
      <c r="E43" s="91"/>
      <c r="F43" s="91"/>
      <c r="G43" s="91"/>
      <c r="H43" s="91"/>
      <c r="I43" s="91"/>
      <c r="J43" s="480"/>
      <c r="K43" s="91"/>
      <c r="L43" s="92"/>
      <c r="M43" s="480"/>
      <c r="N43" s="90">
        <f t="shared" si="3"/>
        <v>0</v>
      </c>
      <c r="P43" s="91"/>
      <c r="Q43" s="91"/>
    </row>
    <row r="44" spans="1:17" ht="15" customHeight="1">
      <c r="A44" s="127"/>
      <c r="B44" s="127"/>
      <c r="C44" s="127"/>
      <c r="D44" s="685"/>
      <c r="E44" s="91"/>
      <c r="F44" s="91"/>
      <c r="G44" s="91"/>
      <c r="H44" s="91"/>
      <c r="I44" s="91"/>
      <c r="J44" s="480"/>
      <c r="K44" s="91"/>
      <c r="L44" s="92"/>
      <c r="M44" s="480"/>
      <c r="N44" s="122">
        <f t="shared" si="3"/>
        <v>0</v>
      </c>
      <c r="P44" s="91"/>
      <c r="Q44" s="91"/>
    </row>
    <row r="45" spans="1:17" ht="6.75" customHeight="1">
      <c r="N45" s="94"/>
    </row>
    <row r="46" spans="1:17" ht="15" customHeight="1">
      <c r="A46" s="451" t="s">
        <v>53</v>
      </c>
      <c r="B46" s="452"/>
      <c r="C46" s="452"/>
      <c r="D46" s="452"/>
      <c r="E46" s="452"/>
      <c r="F46" s="452"/>
      <c r="G46" s="452"/>
      <c r="H46" s="452"/>
      <c r="I46" s="452"/>
      <c r="J46" s="452"/>
      <c r="K46" s="452"/>
      <c r="L46" s="452"/>
      <c r="M46" s="452"/>
      <c r="N46" s="893">
        <f>SUM(N48:N51)</f>
        <v>0</v>
      </c>
      <c r="P46" s="452"/>
      <c r="Q46" s="452"/>
    </row>
    <row r="47" spans="1:17" ht="2.25" customHeight="1">
      <c r="N47" s="93"/>
    </row>
    <row r="48" spans="1:17" ht="15" customHeight="1">
      <c r="A48" s="95" t="str">
        <f>Verwaltung!B9</f>
        <v>Hochschulverwaltung</v>
      </c>
      <c r="B48" s="455" t="str">
        <f>CONCATENATE(Verwaltung!B10,Verwaltung!B11)</f>
        <v>[Bereich, Dezernat, Standort, Stadt]</v>
      </c>
      <c r="C48" s="456"/>
      <c r="E48" s="88">
        <f>Verwaltung!H43</f>
        <v>0</v>
      </c>
      <c r="F48" s="480"/>
      <c r="G48" s="480"/>
      <c r="H48" s="88">
        <f>Verwaltung!K43</f>
        <v>0</v>
      </c>
      <c r="I48" s="480"/>
      <c r="J48" s="480"/>
      <c r="K48" s="88">
        <f>Verwaltung!N43</f>
        <v>0</v>
      </c>
      <c r="L48" s="88">
        <f>Verwaltung!O43</f>
        <v>0</v>
      </c>
      <c r="M48" s="480"/>
      <c r="N48" s="89">
        <f>SUM(E48:M48)</f>
        <v>0</v>
      </c>
      <c r="P48" s="88">
        <f>Verwaltung!P26</f>
        <v>0</v>
      </c>
      <c r="Q48" s="480"/>
    </row>
    <row r="49" spans="1:17" ht="15" customHeight="1">
      <c r="A49" s="95" t="str">
        <f>Bibliothek!B9</f>
        <v>Bibliothek</v>
      </c>
      <c r="B49" s="455" t="str">
        <f>CONCATENATE(Bibliothek!B10,Bibliothek!B11)</f>
        <v>[Bereich, Standort]</v>
      </c>
      <c r="C49" s="456"/>
      <c r="E49" s="88">
        <f>Bibliothek!H35</f>
        <v>0</v>
      </c>
      <c r="F49" s="480"/>
      <c r="G49" s="480"/>
      <c r="H49" s="88">
        <f>Bibliothek!K35</f>
        <v>0</v>
      </c>
      <c r="I49" s="88">
        <f>Bibliothek!L35</f>
        <v>0</v>
      </c>
      <c r="J49" s="480"/>
      <c r="K49" s="88">
        <f>Bibliothek!N35</f>
        <v>0</v>
      </c>
      <c r="L49" s="88">
        <f>Bibliothek!O35</f>
        <v>0</v>
      </c>
      <c r="M49" s="88">
        <f>Bibliothek!M35</f>
        <v>0</v>
      </c>
      <c r="N49" s="90">
        <f>SUM(E49:M49)</f>
        <v>0</v>
      </c>
      <c r="P49" s="88">
        <f>Bibliothek!P27</f>
        <v>0</v>
      </c>
      <c r="Q49" s="480"/>
    </row>
    <row r="50" spans="1:17" ht="15" customHeight="1">
      <c r="A50" s="127"/>
      <c r="B50" s="686"/>
      <c r="C50" s="687"/>
      <c r="D50" s="685"/>
      <c r="E50" s="91"/>
      <c r="F50" s="91"/>
      <c r="G50" s="91"/>
      <c r="H50" s="91"/>
      <c r="I50" s="91"/>
      <c r="J50" s="480"/>
      <c r="K50" s="91"/>
      <c r="L50" s="91"/>
      <c r="M50" s="91"/>
      <c r="N50" s="684"/>
      <c r="P50" s="91"/>
      <c r="Q50" s="480"/>
    </row>
    <row r="51" spans="1:17" ht="15" customHeight="1">
      <c r="A51" s="127"/>
      <c r="B51" s="686"/>
      <c r="C51" s="687"/>
      <c r="D51" s="685"/>
      <c r="E51" s="91"/>
      <c r="F51" s="91"/>
      <c r="G51" s="91"/>
      <c r="H51" s="91"/>
      <c r="I51" s="91"/>
      <c r="J51" s="480"/>
      <c r="K51" s="91"/>
      <c r="L51" s="91"/>
      <c r="M51" s="91"/>
      <c r="N51" s="122">
        <f>SUM(E51:M51)</f>
        <v>0</v>
      </c>
      <c r="P51" s="91"/>
      <c r="Q51" s="480"/>
    </row>
    <row r="52" spans="1:17">
      <c r="N52" s="835" t="str">
        <f>HAW!B28</f>
        <v>Kennwertverfahren NRW für HAW; HIS-Institut für Hochschulentwicklung e.V. (24.04.2026)</v>
      </c>
    </row>
    <row r="53" spans="1:17" ht="15" customHeight="1">
      <c r="A53" s="1165" t="str">
        <f>CONCATENATE("Flächenbedarf ",HAW!B4," ",HAW!B5)</f>
        <v xml:space="preserve">Flächenbedarf Hochschule … </v>
      </c>
    </row>
    <row r="104" spans="3:3">
      <c r="C104" s="85"/>
    </row>
    <row r="111" spans="3:3" s="85" customFormat="1" ht="15" customHeight="1">
      <c r="C111" s="83"/>
    </row>
  </sheetData>
  <sheetProtection algorithmName="SHA-512" hashValue="2ygFFPyy9AXDns4G8IuzMvVZlLwxIgqC/8CBGnLNgTDgTgdvBTaSvshTp/94Fulu6qrj3U3bvOsstzXEMrDXhw==" saltValue="Oa4nXBrApiAl7P1nXQD0OA==" spinCount="100000" sheet="1" insertRows="0" selectLockedCells="1"/>
  <mergeCells count="4">
    <mergeCell ref="A1:C1"/>
    <mergeCell ref="E1:M1"/>
    <mergeCell ref="N1:N2"/>
    <mergeCell ref="P1:Q1"/>
  </mergeCells>
  <dataValidations count="12">
    <dataValidation allowBlank="1" showInputMessage="1" showErrorMessage="1" prompt="Wenn Sie weitere Bemessungsblätter einfügen: Verknüpfen Sie in dieser Spalte zu Zelle B9 des jeweiligen Bemessungsblatts." sqref="A17 A35" xr:uid="{BB601CAB-AD2C-4F21-87DC-E367F58705BC}"/>
    <dataValidation allowBlank="1" showInputMessage="1" showErrorMessage="1" prompt="Wenn Sie weitere Bemessungsblätter einfügen: Verknüpfen Sie in dieser Spalte zu Zelle B10 des jeweiligen Bemessungsblatts." sqref="B17 B35" xr:uid="{D748859A-88AD-4930-9549-C87F4CD68A53}"/>
    <dataValidation allowBlank="1" showInputMessage="1" showErrorMessage="1" prompt="Wenn Sie weitere Bemessungsblätter einfügen: Verknüpfen Sie in dieser Spalte zu Zelle B13 des jeweiligen Bemessungsblatts." sqref="C17 C35" xr:uid="{465ECD9D-1F99-466C-8AF2-4654FDFCE4E0}"/>
    <dataValidation allowBlank="1" showInputMessage="1" showErrorMessage="1" prompt="Verknüpfung zu Zelle H34" sqref="E17 E35" xr:uid="{3FF7F106-5C2B-47FE-8EA4-56812A9A4F39}"/>
    <dataValidation allowBlank="1" showInputMessage="1" showErrorMessage="1" prompt="Addieren Sie hier zwei Werte: Verknüpfung zu den Zellen I34 + M34" sqref="F17 F35" xr:uid="{526A19AF-2F04-4A7F-AB5D-978076DA95A9}"/>
    <dataValidation allowBlank="1" showInputMessage="1" showErrorMessage="1" prompt="Verknüpfung zu Zelle J34" sqref="G17 G35" xr:uid="{E130037C-6096-488B-B48A-3995573744BA}"/>
    <dataValidation allowBlank="1" showInputMessage="1" showErrorMessage="1" prompt="Verknüpfung zu Zelle K34" sqref="H17 H35" xr:uid="{8BEC7EF8-FF0F-41C6-A580-DC65B0E794E5}"/>
    <dataValidation allowBlank="1" showInputMessage="1" showErrorMessage="1" prompt="Verknüfung zu Zelle L34" sqref="I17 I35" xr:uid="{AFD97D00-721A-4E95-8328-91D22FEDE207}"/>
    <dataValidation allowBlank="1" showInputMessage="1" showErrorMessage="1" prompt="Verknüpfung zu Zelle N34" sqref="K17 K35" xr:uid="{C11767B4-EBCA-47BE-9B14-FC52A4B8B71D}"/>
    <dataValidation allowBlank="1" showInputMessage="1" showErrorMessage="1" prompt="Verknüpfung zu Zelle O34" sqref="L17 L35" xr:uid="{2587DBC7-5059-44BE-909D-44B70999FD8F}"/>
    <dataValidation allowBlank="1" showInputMessage="1" showErrorMessage="1" prompt="Verknüpfung zu Zelle P30" sqref="P17 P35" xr:uid="{BE1E8AC0-4F4F-4073-BF46-139DA094D6A5}"/>
    <dataValidation allowBlank="1" showInputMessage="1" showErrorMessage="1" prompt="Verknüpfung zu Zelle P11" sqref="Q17 Q35" xr:uid="{CC9829F0-A8CB-46E2-B730-3B1BBD6A115B}"/>
  </dataValidations>
  <pageMargins left="0.78740157480314965" right="0.78740157480314965" top="0.78740157480314965" bottom="0.59055118110236227" header="0.51181102362204722" footer="0.28000000000000003"/>
  <pageSetup paperSize="9" scale="92" orientation="landscape" r:id="rId1"/>
  <headerFooter alignWithMargins="0">
    <oddFooter>&amp;C&amp;8Seite &amp;P von &amp;N</oddFooter>
  </headerFooter>
  <rowBreaks count="1" manualBreakCount="1">
    <brk id="26"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3ADE4-D095-4480-A955-61D697898E94}">
  <sheetPr>
    <tabColor theme="8" tint="-0.499984740745262"/>
    <outlinePr summaryBelow="0"/>
    <pageSetUpPr autoPageBreaks="0"/>
  </sheetPr>
  <dimension ref="A1:Q124"/>
  <sheetViews>
    <sheetView showGridLines="0" showZeros="0" zoomScaleNormal="100" zoomScaleSheetLayoutView="100" workbookViewId="0">
      <selection activeCell="A7" sqref="A7"/>
    </sheetView>
  </sheetViews>
  <sheetFormatPr baseColWidth="10" defaultColWidth="10.453125" defaultRowHeight="10"/>
  <cols>
    <col min="1" max="2" width="19.1796875" style="83" customWidth="1"/>
    <col min="3" max="3" width="27.54296875" style="83" customWidth="1"/>
    <col min="4" max="4" width="0.81640625" style="83" customWidth="1"/>
    <col min="5" max="13" width="5.453125" style="83" customWidth="1"/>
    <col min="14" max="14" width="9.453125" style="83" customWidth="1"/>
    <col min="15" max="15" width="1.1796875" style="83" customWidth="1"/>
    <col min="16" max="17" width="7.81640625" style="83" customWidth="1"/>
    <col min="18" max="16384" width="10.453125" style="83"/>
  </cols>
  <sheetData>
    <row r="1" spans="1:17" ht="15" customHeight="1">
      <c r="A1" s="936" t="s">
        <v>308</v>
      </c>
    </row>
    <row r="2" spans="1:17" ht="15" customHeight="1">
      <c r="A2" s="936" t="s">
        <v>307</v>
      </c>
    </row>
    <row r="3" spans="1:17" s="80" customFormat="1" ht="22.5" customHeight="1">
      <c r="A3" s="1344" t="s">
        <v>64</v>
      </c>
      <c r="B3" s="1345"/>
      <c r="C3" s="1346"/>
      <c r="E3" s="1347" t="s">
        <v>23</v>
      </c>
      <c r="F3" s="1348"/>
      <c r="G3" s="1348"/>
      <c r="H3" s="1348"/>
      <c r="I3" s="1348"/>
      <c r="J3" s="1348"/>
      <c r="K3" s="1348"/>
      <c r="L3" s="1348"/>
      <c r="M3" s="1348"/>
      <c r="N3" s="1349" t="s">
        <v>18</v>
      </c>
      <c r="P3" s="1351" t="s">
        <v>187</v>
      </c>
      <c r="Q3" s="1352"/>
    </row>
    <row r="4" spans="1:17" s="80" customFormat="1" ht="64.5" customHeight="1">
      <c r="A4" s="231" t="s">
        <v>62</v>
      </c>
      <c r="B4" s="232" t="s">
        <v>63</v>
      </c>
      <c r="C4" s="233" t="s">
        <v>8</v>
      </c>
      <c r="D4" s="81"/>
      <c r="E4" s="746" t="s">
        <v>0</v>
      </c>
      <c r="F4" s="894" t="s">
        <v>298</v>
      </c>
      <c r="G4" s="746" t="s">
        <v>197</v>
      </c>
      <c r="H4" s="746" t="s">
        <v>159</v>
      </c>
      <c r="I4" s="746" t="s">
        <v>204</v>
      </c>
      <c r="J4" s="748" t="s">
        <v>297</v>
      </c>
      <c r="K4" s="746" t="s">
        <v>20</v>
      </c>
      <c r="L4" s="746" t="s">
        <v>205</v>
      </c>
      <c r="M4" s="746" t="s">
        <v>206</v>
      </c>
      <c r="N4" s="1350"/>
      <c r="P4" s="748" t="s">
        <v>862</v>
      </c>
      <c r="Q4" s="748" t="s">
        <v>860</v>
      </c>
    </row>
    <row r="5" spans="1:17" s="80" customFormat="1" ht="2.25" customHeight="1">
      <c r="A5" s="82"/>
      <c r="B5" s="200"/>
      <c r="C5" s="200"/>
      <c r="D5" s="81"/>
      <c r="E5" s="747"/>
      <c r="F5" s="747"/>
      <c r="G5" s="747"/>
      <c r="H5" s="747"/>
      <c r="I5" s="747"/>
      <c r="J5" s="747"/>
      <c r="K5" s="747"/>
      <c r="L5" s="747"/>
      <c r="M5" s="747"/>
      <c r="N5" s="749"/>
      <c r="P5" s="747"/>
      <c r="Q5" s="747"/>
    </row>
    <row r="6" spans="1:17" ht="4.5" customHeight="1" thickBot="1">
      <c r="C6" s="85"/>
      <c r="D6" s="85"/>
      <c r="E6" s="85"/>
      <c r="F6" s="85"/>
      <c r="G6" s="85"/>
      <c r="H6" s="85"/>
      <c r="I6" s="85"/>
      <c r="J6" s="85"/>
      <c r="K6" s="85"/>
      <c r="L6" s="85"/>
      <c r="M6" s="85"/>
      <c r="N6" s="750"/>
    </row>
    <row r="7" spans="1:17" ht="15" customHeight="1" thickBot="1">
      <c r="A7" s="471" t="s">
        <v>121</v>
      </c>
      <c r="B7" s="415"/>
      <c r="C7" s="416"/>
      <c r="D7" s="87"/>
      <c r="E7" s="417">
        <f t="shared" ref="E7:M7" si="0">SUM(E11:E64)</f>
        <v>0</v>
      </c>
      <c r="F7" s="418">
        <f t="shared" si="0"/>
        <v>0</v>
      </c>
      <c r="G7" s="418">
        <f t="shared" si="0"/>
        <v>0</v>
      </c>
      <c r="H7" s="418">
        <f t="shared" si="0"/>
        <v>0</v>
      </c>
      <c r="I7" s="418">
        <f t="shared" si="0"/>
        <v>0</v>
      </c>
      <c r="J7" s="418">
        <f t="shared" si="0"/>
        <v>0</v>
      </c>
      <c r="K7" s="418">
        <f t="shared" si="0"/>
        <v>0</v>
      </c>
      <c r="L7" s="418">
        <f t="shared" si="0"/>
        <v>0</v>
      </c>
      <c r="M7" s="418">
        <f t="shared" si="0"/>
        <v>0</v>
      </c>
      <c r="N7" s="419">
        <f>SUM(E7:M7)</f>
        <v>0</v>
      </c>
      <c r="P7" s="417">
        <f>SUM(P11:P64)</f>
        <v>0</v>
      </c>
      <c r="Q7" s="712">
        <f>SUM(Q11:Q64)</f>
        <v>0</v>
      </c>
    </row>
    <row r="8" spans="1:17" ht="4.5" customHeight="1">
      <c r="N8" s="84"/>
    </row>
    <row r="9" spans="1:17" s="85" customFormat="1" ht="15" customHeight="1">
      <c r="A9" s="933" t="s">
        <v>303</v>
      </c>
      <c r="B9" s="934"/>
      <c r="C9" s="934"/>
      <c r="D9" s="934"/>
      <c r="E9" s="934"/>
      <c r="F9" s="934"/>
      <c r="G9" s="934"/>
      <c r="H9" s="934"/>
      <c r="I9" s="934"/>
      <c r="J9" s="934"/>
      <c r="K9" s="934"/>
      <c r="L9" s="934"/>
      <c r="M9" s="934"/>
      <c r="N9" s="935"/>
      <c r="P9" s="934"/>
      <c r="Q9" s="934"/>
    </row>
    <row r="10" spans="1:17" s="85" customFormat="1" ht="2.25" customHeight="1">
      <c r="C10" s="86"/>
      <c r="N10" s="87"/>
    </row>
    <row r="11" spans="1:17" s="85" customFormat="1" ht="15" customHeight="1">
      <c r="A11" s="124" t="str">
        <f>Naturwiss!B9</f>
        <v>[Fakultät/Fachbereich]</v>
      </c>
      <c r="B11" s="124" t="str">
        <f>Naturwiss!B10</f>
        <v>[Department, Institut o.a.]</v>
      </c>
      <c r="C11" s="124" t="str">
        <f>Naturwiss!B13</f>
        <v>Angewandte Naturwissenschaften</v>
      </c>
      <c r="E11" s="88">
        <f>Naturwiss!H34</f>
        <v>0</v>
      </c>
      <c r="F11" s="88">
        <f>Naturwiss!I34+Naturwiss!M34</f>
        <v>0</v>
      </c>
      <c r="G11" s="88">
        <f>Naturwiss!J34</f>
        <v>0</v>
      </c>
      <c r="H11" s="88">
        <f>Naturwiss!K34</f>
        <v>0</v>
      </c>
      <c r="I11" s="88">
        <f>Naturwiss!L34</f>
        <v>0</v>
      </c>
      <c r="J11" s="480"/>
      <c r="K11" s="88">
        <f>Naturwiss!N34</f>
        <v>0</v>
      </c>
      <c r="L11" s="88">
        <f>Naturwiss!O34</f>
        <v>0</v>
      </c>
      <c r="M11" s="480"/>
      <c r="N11" s="90">
        <f>SUM(E11:M11)</f>
        <v>0</v>
      </c>
      <c r="P11" s="88">
        <f>Naturwiss!P30</f>
        <v>0</v>
      </c>
      <c r="Q11" s="88">
        <f>Naturwiss!P11</f>
        <v>0</v>
      </c>
    </row>
    <row r="12" spans="1:17" s="85" customFormat="1" ht="15" customHeight="1">
      <c r="A12" s="124" t="str">
        <f>Mathe!B9</f>
        <v>[Fakultät/Fachbereich]</v>
      </c>
      <c r="B12" s="124" t="str">
        <f>Mathe!B10</f>
        <v>[Department, Institut o.a.]</v>
      </c>
      <c r="C12" s="124" t="str">
        <f>Mathe!B13</f>
        <v>Mathematik</v>
      </c>
      <c r="E12" s="88">
        <f>Mathe!H34</f>
        <v>0</v>
      </c>
      <c r="F12" s="88">
        <f>Mathe!I34+Mathe!M34</f>
        <v>0</v>
      </c>
      <c r="G12" s="480"/>
      <c r="H12" s="480"/>
      <c r="I12" s="88">
        <f>Mathe!L34</f>
        <v>0</v>
      </c>
      <c r="J12" s="480"/>
      <c r="K12" s="88">
        <f>Mathe!N34</f>
        <v>0</v>
      </c>
      <c r="L12" s="88">
        <f>Mathe!O34</f>
        <v>0</v>
      </c>
      <c r="M12" s="480"/>
      <c r="N12" s="90">
        <f t="shared" ref="N12:N51" si="1">SUM(E12:M12)</f>
        <v>0</v>
      </c>
      <c r="P12" s="88">
        <f>Mathe!P30</f>
        <v>0</v>
      </c>
      <c r="Q12" s="88">
        <f>Mathe!P11</f>
        <v>0</v>
      </c>
    </row>
    <row r="13" spans="1:17" ht="15" customHeight="1">
      <c r="A13" s="125" t="str">
        <f>Arch!B9</f>
        <v>[Fakultät/Fachbereich]</v>
      </c>
      <c r="B13" s="125" t="str">
        <f>Arch!B10</f>
        <v>[Department, Institut o.a.]</v>
      </c>
      <c r="C13" s="125" t="str">
        <f>Arch!B13</f>
        <v>Architektur</v>
      </c>
      <c r="E13" s="88">
        <f>Arch!H34</f>
        <v>0</v>
      </c>
      <c r="F13" s="88">
        <f>Arch!I34+Arch!M34</f>
        <v>0</v>
      </c>
      <c r="G13" s="480"/>
      <c r="H13" s="480"/>
      <c r="I13" s="88">
        <f>Arch!L34</f>
        <v>0</v>
      </c>
      <c r="J13" s="480"/>
      <c r="K13" s="88">
        <f>Arch!N34</f>
        <v>0</v>
      </c>
      <c r="L13" s="88">
        <f>Arch!O34</f>
        <v>0</v>
      </c>
      <c r="M13" s="480"/>
      <c r="N13" s="90">
        <f t="shared" si="1"/>
        <v>0</v>
      </c>
      <c r="P13" s="88">
        <f>Arch!P30</f>
        <v>0</v>
      </c>
      <c r="Q13" s="88">
        <f>Arch!P11</f>
        <v>0</v>
      </c>
    </row>
    <row r="14" spans="1:17" ht="15" customHeight="1">
      <c r="A14" s="125" t="str">
        <f>Bauing!B9</f>
        <v>[Fakultät/Fachbereich]</v>
      </c>
      <c r="B14" s="125" t="str">
        <f>Bauing!B10</f>
        <v>[Department, Institut o.a.]</v>
      </c>
      <c r="C14" s="125" t="str">
        <f>Bauing!B13</f>
        <v>Bauingenieurwesen</v>
      </c>
      <c r="E14" s="88">
        <f>Bauing!H34</f>
        <v>0</v>
      </c>
      <c r="F14" s="88">
        <f>Bauing!I34+Bauing!M34</f>
        <v>0</v>
      </c>
      <c r="G14" s="88">
        <f>Bauing!J34</f>
        <v>0</v>
      </c>
      <c r="H14" s="88">
        <f>Bauing!K34</f>
        <v>0</v>
      </c>
      <c r="I14" s="88">
        <f>Bauing!L34</f>
        <v>0</v>
      </c>
      <c r="J14" s="480"/>
      <c r="K14" s="88">
        <f>Bauing!N34</f>
        <v>0</v>
      </c>
      <c r="L14" s="88">
        <f>Bauing!O34</f>
        <v>0</v>
      </c>
      <c r="M14" s="480"/>
      <c r="N14" s="90">
        <f t="shared" si="1"/>
        <v>0</v>
      </c>
      <c r="P14" s="88">
        <f>Bauing!P30</f>
        <v>0</v>
      </c>
      <c r="Q14" s="88">
        <f>Bauing!P11</f>
        <v>0</v>
      </c>
    </row>
    <row r="15" spans="1:17" ht="15" customHeight="1">
      <c r="A15" s="125" t="str">
        <f>'E-I-Technik'!B9</f>
        <v>[Fakultät/Fachbereich]</v>
      </c>
      <c r="B15" s="125" t="str">
        <f>'E-I-Technik'!B10</f>
        <v>[Department, Institut o.a.]</v>
      </c>
      <c r="C15" s="125" t="str">
        <f>'E-I-Technik'!B13</f>
        <v>Elektro- und Informationstechnik</v>
      </c>
      <c r="E15" s="88">
        <f>'E-I-Technik'!H34</f>
        <v>0</v>
      </c>
      <c r="F15" s="88">
        <f>'E-I-Technik'!I34+'E-I-Technik'!M34</f>
        <v>0</v>
      </c>
      <c r="G15" s="88">
        <f>'E-I-Technik'!J34</f>
        <v>0</v>
      </c>
      <c r="H15" s="88">
        <f>'E-I-Technik'!K34</f>
        <v>0</v>
      </c>
      <c r="I15" s="88">
        <f>'E-I-Technik'!L34</f>
        <v>0</v>
      </c>
      <c r="J15" s="480"/>
      <c r="K15" s="88">
        <f>'E-I-Technik'!N34</f>
        <v>0</v>
      </c>
      <c r="L15" s="88">
        <f>'E-I-Technik'!O34</f>
        <v>0</v>
      </c>
      <c r="M15" s="480"/>
      <c r="N15" s="90">
        <f t="shared" si="1"/>
        <v>0</v>
      </c>
      <c r="P15" s="88">
        <f>'E-I-Technik'!P30</f>
        <v>0</v>
      </c>
      <c r="Q15" s="88">
        <f>'E-I-Technik'!P11</f>
        <v>0</v>
      </c>
    </row>
    <row r="16" spans="1:17" ht="15" customHeight="1">
      <c r="A16" s="125" t="str">
        <f>Informatik!B9</f>
        <v>[Fakultät/Fachbereich]</v>
      </c>
      <c r="B16" s="125" t="str">
        <f>Informatik!B10</f>
        <v>[Department, Institut o.a.]</v>
      </c>
      <c r="C16" s="125" t="str">
        <f>Informatik!B13</f>
        <v>Informatik</v>
      </c>
      <c r="E16" s="88">
        <f>Informatik!H34</f>
        <v>0</v>
      </c>
      <c r="F16" s="88">
        <f>Informatik!I34+Informatik!M34</f>
        <v>0</v>
      </c>
      <c r="G16" s="88">
        <f>Informatik!J34</f>
        <v>0</v>
      </c>
      <c r="H16" s="88">
        <f>Informatik!K34</f>
        <v>0</v>
      </c>
      <c r="I16" s="88">
        <f>Informatik!L34</f>
        <v>0</v>
      </c>
      <c r="J16" s="480"/>
      <c r="K16" s="88">
        <f>Informatik!N34</f>
        <v>0</v>
      </c>
      <c r="L16" s="88">
        <f>Informatik!O34</f>
        <v>0</v>
      </c>
      <c r="M16" s="480"/>
      <c r="N16" s="90">
        <f t="shared" si="1"/>
        <v>0</v>
      </c>
      <c r="P16" s="88">
        <f>Informatik!P30</f>
        <v>0</v>
      </c>
      <c r="Q16" s="88">
        <f>Informatik!P11</f>
        <v>0</v>
      </c>
    </row>
    <row r="17" spans="1:17" ht="15" customHeight="1">
      <c r="A17" s="125" t="str">
        <f>Maschbau!B9</f>
        <v>[Fakultät/Fachbereich]</v>
      </c>
      <c r="B17" s="125" t="str">
        <f>Maschbau!B10</f>
        <v>[Department, Institut o.a.]</v>
      </c>
      <c r="C17" s="125" t="str">
        <f>Maschbau!B13</f>
        <v>Maschinenbau</v>
      </c>
      <c r="E17" s="88">
        <f>Maschbau!H34</f>
        <v>0</v>
      </c>
      <c r="F17" s="88">
        <f>Maschbau!I34+Maschbau!M34</f>
        <v>0</v>
      </c>
      <c r="G17" s="88">
        <f>Maschbau!J34</f>
        <v>0</v>
      </c>
      <c r="H17" s="88">
        <f>Maschbau!K34</f>
        <v>0</v>
      </c>
      <c r="I17" s="88">
        <f>Maschbau!L34</f>
        <v>0</v>
      </c>
      <c r="J17" s="480"/>
      <c r="K17" s="88">
        <f>Maschbau!N34</f>
        <v>0</v>
      </c>
      <c r="L17" s="88">
        <f>Maschbau!O34</f>
        <v>0</v>
      </c>
      <c r="M17" s="480"/>
      <c r="N17" s="90">
        <f t="shared" si="1"/>
        <v>0</v>
      </c>
      <c r="P17" s="88">
        <f>Maschbau!P30</f>
        <v>0</v>
      </c>
      <c r="Q17" s="88">
        <f>Maschbau!P11</f>
        <v>0</v>
      </c>
    </row>
    <row r="18" spans="1:17" ht="15" customHeight="1">
      <c r="A18" s="125" t="str">
        <f>'Wi-ing'!B9</f>
        <v>[Fakultät/Fachbereich]</v>
      </c>
      <c r="B18" s="125" t="str">
        <f>'Wi-ing'!B10</f>
        <v>[Department, Institut o.a.]</v>
      </c>
      <c r="C18" s="125" t="str">
        <f>'Wi-ing'!B13</f>
        <v>Wirtschaftsingenieurwesen</v>
      </c>
      <c r="E18" s="88">
        <f>'Wi-ing'!H34</f>
        <v>0</v>
      </c>
      <c r="F18" s="88">
        <f>'Wi-ing'!I34+'Wi-ing'!M34</f>
        <v>0</v>
      </c>
      <c r="G18" s="88">
        <f>'Wi-ing'!J34</f>
        <v>0</v>
      </c>
      <c r="H18" s="88">
        <f>'Wi-ing'!K34</f>
        <v>0</v>
      </c>
      <c r="I18" s="88">
        <f>'Wi-ing'!L34</f>
        <v>0</v>
      </c>
      <c r="J18" s="480"/>
      <c r="K18" s="88">
        <f>'Wi-ing'!N34</f>
        <v>0</v>
      </c>
      <c r="L18" s="88">
        <f>'Wi-ing'!O34</f>
        <v>0</v>
      </c>
      <c r="M18" s="480"/>
      <c r="N18" s="90">
        <f t="shared" si="1"/>
        <v>0</v>
      </c>
      <c r="P18" s="88">
        <f>'Wi-ing'!P30</f>
        <v>0</v>
      </c>
      <c r="Q18" s="88">
        <f>'Wi-ing'!P11</f>
        <v>0</v>
      </c>
    </row>
    <row r="19" spans="1:17" ht="15" customHeight="1">
      <c r="A19" s="95" t="str">
        <f>Design!B9</f>
        <v>[Fakultät/Fachbereich]</v>
      </c>
      <c r="B19" s="95" t="str">
        <f>Design!B10</f>
        <v>[Department, Institut o.a.]</v>
      </c>
      <c r="C19" s="95" t="str">
        <f>Design!B13</f>
        <v>Design, Gestaltung</v>
      </c>
      <c r="E19" s="88">
        <f>Design!H34</f>
        <v>0</v>
      </c>
      <c r="F19" s="88">
        <f>Design!I34+Design!M34</f>
        <v>0</v>
      </c>
      <c r="G19" s="480"/>
      <c r="H19" s="480"/>
      <c r="I19" s="88">
        <f>Design!L34</f>
        <v>0</v>
      </c>
      <c r="J19" s="480"/>
      <c r="K19" s="88">
        <f>Design!N34</f>
        <v>0</v>
      </c>
      <c r="L19" s="88">
        <f>Design!O34</f>
        <v>0</v>
      </c>
      <c r="M19" s="480"/>
      <c r="N19" s="90">
        <f t="shared" si="1"/>
        <v>0</v>
      </c>
      <c r="P19" s="88">
        <f>Design!P30</f>
        <v>0</v>
      </c>
      <c r="Q19" s="88">
        <f>Design!P11</f>
        <v>0</v>
      </c>
    </row>
    <row r="20" spans="1:17" ht="15" customHeight="1">
      <c r="A20" s="95" t="str">
        <f>Ernährung!B9</f>
        <v>[Fakultät/Fachbereich]</v>
      </c>
      <c r="B20" s="95" t="str">
        <f>Ernährung!B10</f>
        <v>[Department, Institut o.a.]</v>
      </c>
      <c r="C20" s="95" t="str">
        <f>Ernährung!B13</f>
        <v>Ernährungswissenschaften</v>
      </c>
      <c r="E20" s="88">
        <f>Ernährung!H34</f>
        <v>0</v>
      </c>
      <c r="F20" s="88">
        <f>Ernährung!I34+Ernährung!M34</f>
        <v>0</v>
      </c>
      <c r="G20" s="480"/>
      <c r="H20" s="480"/>
      <c r="I20" s="88">
        <f>Ernährung!L34</f>
        <v>0</v>
      </c>
      <c r="J20" s="480"/>
      <c r="K20" s="88">
        <f>Ernährung!N34</f>
        <v>0</v>
      </c>
      <c r="L20" s="88">
        <f>Ernährung!O34</f>
        <v>0</v>
      </c>
      <c r="M20" s="480"/>
      <c r="N20" s="90">
        <f t="shared" si="1"/>
        <v>0</v>
      </c>
      <c r="P20" s="88">
        <f>Ernährung!P30</f>
        <v>0</v>
      </c>
      <c r="Q20" s="88">
        <f>Ernährung!P11</f>
        <v>0</v>
      </c>
    </row>
    <row r="21" spans="1:17" ht="15" customHeight="1">
      <c r="A21" s="95" t="str">
        <f>Gesund!B9</f>
        <v>[Fakultät/Fachbereich]</v>
      </c>
      <c r="B21" s="95" t="str">
        <f>Gesund!B10</f>
        <v>[Department, Institut o.a.]</v>
      </c>
      <c r="C21" s="95" t="str">
        <f>Gesund!B13</f>
        <v>Gesundheits- und Pflegewissenschaften</v>
      </c>
      <c r="E21" s="88">
        <f>Gesund!H34</f>
        <v>0</v>
      </c>
      <c r="F21" s="88">
        <f>Gesund!I34+Gesund!M34</f>
        <v>0</v>
      </c>
      <c r="G21" s="480"/>
      <c r="H21" s="480"/>
      <c r="I21" s="88">
        <f>Gesund!L34</f>
        <v>0</v>
      </c>
      <c r="J21" s="480"/>
      <c r="K21" s="88">
        <f>Gesund!N34</f>
        <v>0</v>
      </c>
      <c r="L21" s="88">
        <f>Gesund!O34</f>
        <v>0</v>
      </c>
      <c r="M21" s="480"/>
      <c r="N21" s="90">
        <f t="shared" si="1"/>
        <v>0</v>
      </c>
      <c r="P21" s="88">
        <f>Gesund!P30</f>
        <v>0</v>
      </c>
      <c r="Q21" s="88">
        <f>Gesund!P11</f>
        <v>0</v>
      </c>
    </row>
    <row r="22" spans="1:17" ht="15" customHeight="1">
      <c r="A22" s="95" t="str">
        <f>Sowi!B9</f>
        <v>[Fakultät/Fachbereich]</v>
      </c>
      <c r="B22" s="95" t="str">
        <f>Sowi!B10</f>
        <v>[Department, Institut o.a.]</v>
      </c>
      <c r="C22" s="95" t="str">
        <f>Sowi!B13</f>
        <v>Sozial- und Erziehungswissenschaften</v>
      </c>
      <c r="E22" s="88">
        <f>Sowi!H34</f>
        <v>0</v>
      </c>
      <c r="F22" s="88">
        <f>Sowi!I34+Sowi!M34</f>
        <v>0</v>
      </c>
      <c r="G22" s="480"/>
      <c r="H22" s="480"/>
      <c r="I22" s="88">
        <f>Sowi!L34</f>
        <v>0</v>
      </c>
      <c r="J22" s="480"/>
      <c r="K22" s="88">
        <f>Sowi!N34</f>
        <v>0</v>
      </c>
      <c r="L22" s="88">
        <f>Sowi!O34</f>
        <v>0</v>
      </c>
      <c r="M22" s="480"/>
      <c r="N22" s="90">
        <f t="shared" si="1"/>
        <v>0</v>
      </c>
      <c r="P22" s="88">
        <f>Sowi!P30</f>
        <v>0</v>
      </c>
      <c r="Q22" s="88">
        <f>Sowi!P11</f>
        <v>0</v>
      </c>
    </row>
    <row r="23" spans="1:17" ht="15" customHeight="1">
      <c r="A23" s="95" t="str">
        <f>Wiwi!B9</f>
        <v>[Fakultät/Fachbereich]</v>
      </c>
      <c r="B23" s="95" t="str">
        <f>Wiwi!B10</f>
        <v>[Department, Institut o.a.]</v>
      </c>
      <c r="C23" s="95" t="str">
        <f>Wiwi!B13</f>
        <v>Wirtschaftswissenschaften</v>
      </c>
      <c r="E23" s="88">
        <f>Wiwi!H34</f>
        <v>0</v>
      </c>
      <c r="F23" s="88">
        <f>Wiwi!I34+Wiwi!M34</f>
        <v>0</v>
      </c>
      <c r="G23" s="480"/>
      <c r="H23" s="480"/>
      <c r="I23" s="88">
        <f>Wiwi!L34</f>
        <v>0</v>
      </c>
      <c r="J23" s="480"/>
      <c r="K23" s="88">
        <f>Wiwi!N34</f>
        <v>0</v>
      </c>
      <c r="L23" s="88">
        <f>Wiwi!O34</f>
        <v>0</v>
      </c>
      <c r="M23" s="480"/>
      <c r="N23" s="90">
        <f t="shared" si="1"/>
        <v>0</v>
      </c>
      <c r="P23" s="88">
        <f>Wiwi!P30</f>
        <v>0</v>
      </c>
      <c r="Q23" s="88">
        <f>Wiwi!P11</f>
        <v>0</v>
      </c>
    </row>
    <row r="24" spans="1:17" ht="15" customHeight="1">
      <c r="A24" s="95" t="str">
        <f>Verwaltung!B9</f>
        <v>Hochschulverwaltung</v>
      </c>
      <c r="B24" s="95" t="str">
        <f>CONCATENATE(Verwaltung!B10,Verwaltung!B11)</f>
        <v>[Bereich, Dezernat, Standort, Stadt]</v>
      </c>
      <c r="C24" s="95"/>
      <c r="E24" s="88">
        <f>Verwaltung!H43</f>
        <v>0</v>
      </c>
      <c r="F24" s="480"/>
      <c r="G24" s="480"/>
      <c r="H24" s="88">
        <f>Verwaltung!K43</f>
        <v>0</v>
      </c>
      <c r="I24" s="480"/>
      <c r="J24" s="480"/>
      <c r="K24" s="88">
        <f>Verwaltung!N43</f>
        <v>0</v>
      </c>
      <c r="L24" s="88">
        <f>Verwaltung!O43</f>
        <v>0</v>
      </c>
      <c r="M24" s="480"/>
      <c r="N24" s="90">
        <f t="shared" si="1"/>
        <v>0</v>
      </c>
      <c r="P24" s="88">
        <f>Verwaltung!P26</f>
        <v>0</v>
      </c>
      <c r="Q24" s="480"/>
    </row>
    <row r="25" spans="1:17" ht="15" customHeight="1">
      <c r="A25" s="95" t="str">
        <f>Bibliothek!B9</f>
        <v>Bibliothek</v>
      </c>
      <c r="B25" s="95" t="str">
        <f>CONCATENATE(Bibliothek!B10,Bibliothek!B11)</f>
        <v>[Bereich, Standort]</v>
      </c>
      <c r="C25" s="95"/>
      <c r="E25" s="88">
        <f>Bibliothek!H35</f>
        <v>0</v>
      </c>
      <c r="F25" s="480"/>
      <c r="G25" s="480"/>
      <c r="H25" s="88"/>
      <c r="I25" s="88">
        <f>Bibliothek!L35</f>
        <v>0</v>
      </c>
      <c r="J25" s="480"/>
      <c r="K25" s="88">
        <f>Bibliothek!N35</f>
        <v>0</v>
      </c>
      <c r="L25" s="88">
        <f>Bibliothek!O35</f>
        <v>0</v>
      </c>
      <c r="M25" s="88">
        <f>Bibliothek!M35</f>
        <v>0</v>
      </c>
      <c r="N25" s="90">
        <f t="shared" si="1"/>
        <v>0</v>
      </c>
      <c r="P25" s="88">
        <f>Bibliothek!P27</f>
        <v>0</v>
      </c>
      <c r="Q25" s="480"/>
    </row>
    <row r="26" spans="1:17" ht="6.75" customHeight="1">
      <c r="N26" s="93"/>
    </row>
    <row r="27" spans="1:17" ht="15" customHeight="1">
      <c r="A27" s="933" t="s">
        <v>304</v>
      </c>
      <c r="B27" s="934"/>
      <c r="C27" s="934"/>
      <c r="D27" s="934"/>
      <c r="E27" s="934"/>
      <c r="F27" s="934"/>
      <c r="G27" s="934"/>
      <c r="H27" s="934"/>
      <c r="I27" s="934"/>
      <c r="J27" s="934"/>
      <c r="K27" s="934"/>
      <c r="L27" s="934"/>
      <c r="M27" s="934"/>
      <c r="N27" s="935"/>
      <c r="P27" s="934"/>
      <c r="Q27" s="934"/>
    </row>
    <row r="28" spans="1:17" ht="2.25" customHeight="1">
      <c r="N28" s="93"/>
    </row>
    <row r="29" spans="1:17" ht="15" customHeight="1">
      <c r="A29" s="126"/>
      <c r="B29" s="126"/>
      <c r="C29" s="126"/>
      <c r="D29" s="685"/>
      <c r="E29" s="91"/>
      <c r="F29" s="91"/>
      <c r="G29" s="91"/>
      <c r="H29" s="91"/>
      <c r="I29" s="91"/>
      <c r="J29" s="480"/>
      <c r="K29" s="91"/>
      <c r="L29" s="92"/>
      <c r="M29" s="480"/>
      <c r="N29" s="90">
        <f t="shared" ref="N29:N38" si="2">SUM(E29:M29)</f>
        <v>0</v>
      </c>
      <c r="P29" s="91"/>
      <c r="Q29" s="91"/>
    </row>
    <row r="30" spans="1:17" ht="15" customHeight="1">
      <c r="A30" s="127"/>
      <c r="B30" s="127"/>
      <c r="C30" s="127"/>
      <c r="D30" s="685"/>
      <c r="E30" s="91"/>
      <c r="F30" s="91"/>
      <c r="G30" s="91"/>
      <c r="H30" s="91"/>
      <c r="I30" s="91"/>
      <c r="J30" s="480"/>
      <c r="K30" s="91"/>
      <c r="L30" s="92"/>
      <c r="M30" s="480"/>
      <c r="N30" s="90">
        <f t="shared" si="2"/>
        <v>0</v>
      </c>
      <c r="P30" s="91"/>
      <c r="Q30" s="91"/>
    </row>
    <row r="31" spans="1:17" ht="15" customHeight="1">
      <c r="A31" s="127"/>
      <c r="B31" s="127"/>
      <c r="C31" s="127"/>
      <c r="D31" s="685"/>
      <c r="E31" s="91"/>
      <c r="F31" s="91"/>
      <c r="G31" s="91"/>
      <c r="H31" s="91"/>
      <c r="I31" s="91"/>
      <c r="J31" s="480"/>
      <c r="K31" s="91"/>
      <c r="L31" s="92"/>
      <c r="M31" s="480"/>
      <c r="N31" s="90">
        <f t="shared" si="2"/>
        <v>0</v>
      </c>
      <c r="P31" s="91"/>
      <c r="Q31" s="91"/>
    </row>
    <row r="32" spans="1:17" ht="15" customHeight="1">
      <c r="A32" s="127"/>
      <c r="B32" s="127"/>
      <c r="C32" s="127"/>
      <c r="D32" s="685"/>
      <c r="E32" s="91"/>
      <c r="F32" s="91"/>
      <c r="G32" s="91"/>
      <c r="H32" s="91"/>
      <c r="I32" s="91"/>
      <c r="J32" s="480"/>
      <c r="K32" s="91"/>
      <c r="L32" s="92"/>
      <c r="M32" s="480"/>
      <c r="N32" s="90">
        <f t="shared" si="2"/>
        <v>0</v>
      </c>
      <c r="P32" s="91"/>
      <c r="Q32" s="91"/>
    </row>
    <row r="33" spans="1:17" ht="15" customHeight="1">
      <c r="A33" s="127"/>
      <c r="B33" s="127"/>
      <c r="C33" s="127"/>
      <c r="D33" s="685"/>
      <c r="E33" s="91"/>
      <c r="F33" s="91"/>
      <c r="G33" s="91"/>
      <c r="H33" s="91"/>
      <c r="I33" s="91"/>
      <c r="J33" s="480"/>
      <c r="K33" s="91"/>
      <c r="L33" s="92"/>
      <c r="M33" s="480"/>
      <c r="N33" s="90">
        <f t="shared" si="2"/>
        <v>0</v>
      </c>
      <c r="P33" s="91"/>
      <c r="Q33" s="91"/>
    </row>
    <row r="34" spans="1:17" ht="15" customHeight="1">
      <c r="A34" s="127"/>
      <c r="B34" s="127"/>
      <c r="C34" s="127"/>
      <c r="D34" s="685"/>
      <c r="E34" s="91"/>
      <c r="F34" s="91"/>
      <c r="G34" s="91"/>
      <c r="H34" s="91"/>
      <c r="I34" s="91"/>
      <c r="J34" s="480"/>
      <c r="K34" s="91"/>
      <c r="L34" s="92"/>
      <c r="M34" s="480"/>
      <c r="N34" s="90">
        <f t="shared" si="2"/>
        <v>0</v>
      </c>
      <c r="P34" s="91"/>
      <c r="Q34" s="91"/>
    </row>
    <row r="35" spans="1:17" ht="15" customHeight="1">
      <c r="A35" s="127"/>
      <c r="B35" s="127"/>
      <c r="C35" s="127"/>
      <c r="D35" s="685"/>
      <c r="E35" s="91"/>
      <c r="F35" s="91"/>
      <c r="G35" s="91"/>
      <c r="H35" s="91"/>
      <c r="I35" s="91"/>
      <c r="J35" s="480"/>
      <c r="K35" s="91"/>
      <c r="L35" s="92"/>
      <c r="M35" s="480"/>
      <c r="N35" s="90">
        <f t="shared" si="2"/>
        <v>0</v>
      </c>
      <c r="P35" s="91"/>
      <c r="Q35" s="91"/>
    </row>
    <row r="36" spans="1:17" ht="15" customHeight="1">
      <c r="A36" s="127"/>
      <c r="B36" s="127"/>
      <c r="C36" s="127"/>
      <c r="D36" s="685"/>
      <c r="E36" s="91"/>
      <c r="F36" s="91"/>
      <c r="G36" s="91"/>
      <c r="H36" s="91"/>
      <c r="I36" s="91"/>
      <c r="J36" s="480"/>
      <c r="K36" s="91"/>
      <c r="L36" s="92"/>
      <c r="M36" s="480"/>
      <c r="N36" s="90">
        <f t="shared" si="2"/>
        <v>0</v>
      </c>
      <c r="P36" s="91"/>
      <c r="Q36" s="91"/>
    </row>
    <row r="37" spans="1:17" ht="15" customHeight="1">
      <c r="A37" s="127"/>
      <c r="B37" s="127"/>
      <c r="C37" s="127"/>
      <c r="D37" s="685"/>
      <c r="E37" s="88"/>
      <c r="F37" s="480"/>
      <c r="G37" s="480"/>
      <c r="H37" s="88"/>
      <c r="I37" s="480"/>
      <c r="J37" s="480"/>
      <c r="K37" s="88"/>
      <c r="L37" s="88"/>
      <c r="M37" s="480"/>
      <c r="N37" s="90">
        <f t="shared" si="2"/>
        <v>0</v>
      </c>
      <c r="P37" s="88"/>
      <c r="Q37" s="480"/>
    </row>
    <row r="38" spans="1:17" ht="15" customHeight="1">
      <c r="A38" s="127"/>
      <c r="B38" s="127"/>
      <c r="C38" s="127"/>
      <c r="D38" s="685"/>
      <c r="E38" s="88"/>
      <c r="F38" s="480"/>
      <c r="G38" s="480"/>
      <c r="H38" s="88"/>
      <c r="I38" s="88"/>
      <c r="J38" s="480"/>
      <c r="K38" s="88"/>
      <c r="L38" s="88"/>
      <c r="M38" s="88"/>
      <c r="N38" s="90">
        <f t="shared" si="2"/>
        <v>0</v>
      </c>
      <c r="P38" s="88"/>
      <c r="Q38" s="480"/>
    </row>
    <row r="39" spans="1:17" ht="6.75" customHeight="1">
      <c r="N39" s="93"/>
    </row>
    <row r="40" spans="1:17" ht="15" customHeight="1">
      <c r="A40" s="933" t="s">
        <v>305</v>
      </c>
      <c r="B40" s="934"/>
      <c r="C40" s="934"/>
      <c r="D40" s="934"/>
      <c r="E40" s="934"/>
      <c r="F40" s="934"/>
      <c r="G40" s="934"/>
      <c r="H40" s="934"/>
      <c r="I40" s="934"/>
      <c r="J40" s="934"/>
      <c r="K40" s="934"/>
      <c r="L40" s="934"/>
      <c r="M40" s="934"/>
      <c r="N40" s="935"/>
      <c r="P40" s="934"/>
      <c r="Q40" s="934"/>
    </row>
    <row r="41" spans="1:17" ht="2.25" customHeight="1">
      <c r="N41" s="93"/>
    </row>
    <row r="42" spans="1:17" ht="15" customHeight="1">
      <c r="A42" s="126"/>
      <c r="B42" s="126"/>
      <c r="C42" s="126"/>
      <c r="D42" s="685"/>
      <c r="E42" s="91"/>
      <c r="F42" s="91"/>
      <c r="G42" s="91"/>
      <c r="H42" s="91"/>
      <c r="I42" s="91"/>
      <c r="J42" s="480"/>
      <c r="K42" s="91"/>
      <c r="L42" s="92"/>
      <c r="M42" s="480"/>
      <c r="N42" s="90">
        <f t="shared" si="1"/>
        <v>0</v>
      </c>
      <c r="P42" s="91"/>
      <c r="Q42" s="91"/>
    </row>
    <row r="43" spans="1:17" ht="15" customHeight="1">
      <c r="A43" s="126"/>
      <c r="B43" s="126"/>
      <c r="C43" s="126"/>
      <c r="D43" s="685"/>
      <c r="E43" s="91"/>
      <c r="F43" s="91"/>
      <c r="G43" s="91"/>
      <c r="H43" s="91"/>
      <c r="I43" s="91"/>
      <c r="J43" s="480"/>
      <c r="K43" s="91"/>
      <c r="L43" s="92"/>
      <c r="M43" s="480"/>
      <c r="N43" s="90">
        <f t="shared" si="1"/>
        <v>0</v>
      </c>
      <c r="P43" s="91"/>
      <c r="Q43" s="91"/>
    </row>
    <row r="44" spans="1:17" ht="15" customHeight="1">
      <c r="A44" s="126"/>
      <c r="B44" s="126"/>
      <c r="C44" s="126"/>
      <c r="D44" s="685"/>
      <c r="E44" s="91"/>
      <c r="F44" s="91"/>
      <c r="G44" s="91"/>
      <c r="H44" s="91"/>
      <c r="I44" s="91"/>
      <c r="J44" s="480"/>
      <c r="K44" s="91"/>
      <c r="L44" s="92"/>
      <c r="M44" s="480"/>
      <c r="N44" s="90">
        <f t="shared" si="1"/>
        <v>0</v>
      </c>
      <c r="P44" s="91"/>
      <c r="Q44" s="91"/>
    </row>
    <row r="45" spans="1:17" ht="15" customHeight="1">
      <c r="A45" s="126"/>
      <c r="B45" s="126"/>
      <c r="C45" s="126"/>
      <c r="D45" s="685"/>
      <c r="E45" s="91"/>
      <c r="F45" s="91"/>
      <c r="G45" s="91"/>
      <c r="H45" s="91"/>
      <c r="I45" s="91"/>
      <c r="J45" s="480"/>
      <c r="K45" s="91"/>
      <c r="L45" s="92"/>
      <c r="M45" s="480"/>
      <c r="N45" s="90">
        <f t="shared" si="1"/>
        <v>0</v>
      </c>
      <c r="P45" s="91"/>
      <c r="Q45" s="91"/>
    </row>
    <row r="46" spans="1:17" ht="15" customHeight="1">
      <c r="A46" s="126"/>
      <c r="B46" s="126"/>
      <c r="C46" s="126"/>
      <c r="D46" s="685"/>
      <c r="E46" s="91"/>
      <c r="F46" s="91"/>
      <c r="G46" s="91"/>
      <c r="H46" s="91"/>
      <c r="I46" s="91"/>
      <c r="J46" s="480"/>
      <c r="K46" s="91"/>
      <c r="L46" s="92"/>
      <c r="M46" s="480"/>
      <c r="N46" s="90">
        <f t="shared" si="1"/>
        <v>0</v>
      </c>
      <c r="P46" s="91"/>
      <c r="Q46" s="91"/>
    </row>
    <row r="47" spans="1:17" ht="15" customHeight="1">
      <c r="A47" s="126"/>
      <c r="B47" s="126"/>
      <c r="C47" s="126"/>
      <c r="D47" s="685"/>
      <c r="E47" s="91"/>
      <c r="F47" s="91"/>
      <c r="G47" s="91"/>
      <c r="H47" s="91"/>
      <c r="I47" s="91"/>
      <c r="J47" s="480"/>
      <c r="K47" s="91"/>
      <c r="L47" s="92"/>
      <c r="M47" s="480"/>
      <c r="N47" s="90">
        <f t="shared" si="1"/>
        <v>0</v>
      </c>
      <c r="P47" s="91"/>
      <c r="Q47" s="91"/>
    </row>
    <row r="48" spans="1:17" ht="15" customHeight="1">
      <c r="A48" s="126"/>
      <c r="B48" s="126"/>
      <c r="C48" s="126"/>
      <c r="D48" s="685"/>
      <c r="E48" s="91"/>
      <c r="F48" s="91"/>
      <c r="G48" s="91"/>
      <c r="H48" s="91"/>
      <c r="I48" s="91"/>
      <c r="J48" s="480"/>
      <c r="K48" s="91"/>
      <c r="L48" s="92"/>
      <c r="M48" s="480"/>
      <c r="N48" s="90">
        <f t="shared" si="1"/>
        <v>0</v>
      </c>
      <c r="P48" s="91"/>
      <c r="Q48" s="91"/>
    </row>
    <row r="49" spans="1:17" ht="15" customHeight="1">
      <c r="A49" s="126"/>
      <c r="B49" s="126"/>
      <c r="C49" s="126"/>
      <c r="D49" s="685"/>
      <c r="E49" s="91"/>
      <c r="F49" s="91"/>
      <c r="G49" s="91"/>
      <c r="H49" s="91"/>
      <c r="I49" s="91"/>
      <c r="J49" s="480"/>
      <c r="K49" s="91"/>
      <c r="L49" s="92"/>
      <c r="M49" s="480"/>
      <c r="N49" s="90">
        <f t="shared" si="1"/>
        <v>0</v>
      </c>
      <c r="P49" s="91"/>
      <c r="Q49" s="91"/>
    </row>
    <row r="50" spans="1:17" ht="15" customHeight="1">
      <c r="A50" s="126"/>
      <c r="B50" s="126"/>
      <c r="C50" s="126"/>
      <c r="D50" s="685"/>
      <c r="E50" s="88"/>
      <c r="F50" s="480"/>
      <c r="G50" s="480"/>
      <c r="H50" s="88"/>
      <c r="I50" s="480"/>
      <c r="J50" s="480"/>
      <c r="K50" s="88"/>
      <c r="L50" s="88"/>
      <c r="M50" s="480"/>
      <c r="N50" s="90">
        <f t="shared" si="1"/>
        <v>0</v>
      </c>
      <c r="P50" s="88"/>
      <c r="Q50" s="480"/>
    </row>
    <row r="51" spans="1:17" ht="15" customHeight="1">
      <c r="A51" s="126"/>
      <c r="B51" s="126"/>
      <c r="C51" s="126"/>
      <c r="D51" s="685"/>
      <c r="E51" s="88"/>
      <c r="F51" s="480"/>
      <c r="G51" s="480"/>
      <c r="H51" s="88"/>
      <c r="I51" s="88"/>
      <c r="J51" s="480"/>
      <c r="K51" s="88"/>
      <c r="L51" s="88"/>
      <c r="M51" s="88"/>
      <c r="N51" s="90">
        <f t="shared" si="1"/>
        <v>0</v>
      </c>
      <c r="P51" s="88"/>
      <c r="Q51" s="480"/>
    </row>
    <row r="52" spans="1:17" ht="6.75" customHeight="1">
      <c r="N52" s="93"/>
    </row>
    <row r="53" spans="1:17" ht="15" customHeight="1">
      <c r="A53" s="933" t="s">
        <v>306</v>
      </c>
      <c r="B53" s="934"/>
      <c r="C53" s="934"/>
      <c r="D53" s="934"/>
      <c r="E53" s="934"/>
      <c r="F53" s="934"/>
      <c r="G53" s="934"/>
      <c r="H53" s="934"/>
      <c r="I53" s="934"/>
      <c r="J53" s="934"/>
      <c r="K53" s="934"/>
      <c r="L53" s="934"/>
      <c r="M53" s="934"/>
      <c r="N53" s="935"/>
      <c r="P53" s="934"/>
      <c r="Q53" s="934"/>
    </row>
    <row r="54" spans="1:17" ht="2.25" customHeight="1">
      <c r="N54" s="93"/>
    </row>
    <row r="55" spans="1:17" ht="15" customHeight="1">
      <c r="A55" s="126"/>
      <c r="B55" s="126"/>
      <c r="C55" s="126"/>
      <c r="D55" s="685"/>
      <c r="E55" s="91"/>
      <c r="F55" s="91"/>
      <c r="G55" s="91"/>
      <c r="H55" s="91"/>
      <c r="I55" s="91"/>
      <c r="J55" s="480"/>
      <c r="K55" s="91"/>
      <c r="L55" s="92"/>
      <c r="M55" s="480"/>
      <c r="N55" s="90">
        <f t="shared" ref="N55:N64" si="3">SUM(E55:M55)</f>
        <v>0</v>
      </c>
      <c r="P55" s="91"/>
      <c r="Q55" s="91"/>
    </row>
    <row r="56" spans="1:17" ht="15" customHeight="1">
      <c r="A56" s="127"/>
      <c r="B56" s="127"/>
      <c r="C56" s="127"/>
      <c r="D56" s="685"/>
      <c r="E56" s="91"/>
      <c r="F56" s="91"/>
      <c r="G56" s="91"/>
      <c r="H56" s="91"/>
      <c r="I56" s="91"/>
      <c r="J56" s="480"/>
      <c r="K56" s="91"/>
      <c r="L56" s="92"/>
      <c r="M56" s="480"/>
      <c r="N56" s="90">
        <f t="shared" si="3"/>
        <v>0</v>
      </c>
      <c r="P56" s="91"/>
      <c r="Q56" s="91"/>
    </row>
    <row r="57" spans="1:17" ht="15" customHeight="1">
      <c r="A57" s="127"/>
      <c r="B57" s="127"/>
      <c r="C57" s="127"/>
      <c r="D57" s="685"/>
      <c r="E57" s="91"/>
      <c r="F57" s="91"/>
      <c r="G57" s="91"/>
      <c r="H57" s="91"/>
      <c r="I57" s="91"/>
      <c r="J57" s="480"/>
      <c r="K57" s="91"/>
      <c r="L57" s="92"/>
      <c r="M57" s="480"/>
      <c r="N57" s="90">
        <f t="shared" si="3"/>
        <v>0</v>
      </c>
      <c r="P57" s="91"/>
      <c r="Q57" s="91"/>
    </row>
    <row r="58" spans="1:17" ht="15" customHeight="1">
      <c r="A58" s="127"/>
      <c r="B58" s="127"/>
      <c r="C58" s="127"/>
      <c r="D58" s="685"/>
      <c r="E58" s="91"/>
      <c r="F58" s="91"/>
      <c r="G58" s="91"/>
      <c r="H58" s="91"/>
      <c r="I58" s="91"/>
      <c r="J58" s="480"/>
      <c r="K58" s="91"/>
      <c r="L58" s="92"/>
      <c r="M58" s="480"/>
      <c r="N58" s="90">
        <f t="shared" si="3"/>
        <v>0</v>
      </c>
      <c r="P58" s="91"/>
      <c r="Q58" s="91"/>
    </row>
    <row r="59" spans="1:17" ht="15" customHeight="1">
      <c r="A59" s="127"/>
      <c r="B59" s="127"/>
      <c r="C59" s="127"/>
      <c r="D59" s="685"/>
      <c r="E59" s="91"/>
      <c r="F59" s="91"/>
      <c r="G59" s="91"/>
      <c r="H59" s="91"/>
      <c r="I59" s="91"/>
      <c r="J59" s="480"/>
      <c r="K59" s="91"/>
      <c r="L59" s="92"/>
      <c r="M59" s="480"/>
      <c r="N59" s="90">
        <f t="shared" si="3"/>
        <v>0</v>
      </c>
      <c r="P59" s="91"/>
      <c r="Q59" s="91"/>
    </row>
    <row r="60" spans="1:17" ht="15" customHeight="1">
      <c r="A60" s="127"/>
      <c r="B60" s="127"/>
      <c r="C60" s="127"/>
      <c r="D60" s="685"/>
      <c r="E60" s="91"/>
      <c r="F60" s="91"/>
      <c r="G60" s="91"/>
      <c r="H60" s="91"/>
      <c r="I60" s="91"/>
      <c r="J60" s="480"/>
      <c r="K60" s="91"/>
      <c r="L60" s="92"/>
      <c r="M60" s="480"/>
      <c r="N60" s="90">
        <f t="shared" si="3"/>
        <v>0</v>
      </c>
      <c r="P60" s="91"/>
      <c r="Q60" s="91"/>
    </row>
    <row r="61" spans="1:17" ht="15" customHeight="1">
      <c r="A61" s="127"/>
      <c r="B61" s="127"/>
      <c r="C61" s="127"/>
      <c r="D61" s="685"/>
      <c r="E61" s="91"/>
      <c r="F61" s="91"/>
      <c r="G61" s="91"/>
      <c r="H61" s="91"/>
      <c r="I61" s="91"/>
      <c r="J61" s="480"/>
      <c r="K61" s="91"/>
      <c r="L61" s="92"/>
      <c r="M61" s="480"/>
      <c r="N61" s="90">
        <f t="shared" si="3"/>
        <v>0</v>
      </c>
      <c r="P61" s="91"/>
      <c r="Q61" s="91"/>
    </row>
    <row r="62" spans="1:17" ht="15" customHeight="1">
      <c r="A62" s="127"/>
      <c r="B62" s="127"/>
      <c r="C62" s="127"/>
      <c r="D62" s="685"/>
      <c r="E62" s="91"/>
      <c r="F62" s="91"/>
      <c r="G62" s="91"/>
      <c r="H62" s="91"/>
      <c r="I62" s="91"/>
      <c r="J62" s="480"/>
      <c r="K62" s="91"/>
      <c r="L62" s="92"/>
      <c r="M62" s="480"/>
      <c r="N62" s="90">
        <f t="shared" si="3"/>
        <v>0</v>
      </c>
      <c r="P62" s="91"/>
      <c r="Q62" s="91"/>
    </row>
    <row r="63" spans="1:17" ht="15" customHeight="1">
      <c r="A63" s="127"/>
      <c r="B63" s="127"/>
      <c r="C63" s="127"/>
      <c r="D63" s="685"/>
      <c r="E63" s="88"/>
      <c r="F63" s="480"/>
      <c r="G63" s="480"/>
      <c r="H63" s="88"/>
      <c r="I63" s="480"/>
      <c r="J63" s="480"/>
      <c r="K63" s="88"/>
      <c r="L63" s="88"/>
      <c r="M63" s="480"/>
      <c r="N63" s="90">
        <f t="shared" si="3"/>
        <v>0</v>
      </c>
      <c r="P63" s="88"/>
      <c r="Q63" s="480"/>
    </row>
    <row r="64" spans="1:17" ht="15" customHeight="1">
      <c r="A64" s="127"/>
      <c r="B64" s="127"/>
      <c r="C64" s="127"/>
      <c r="D64" s="685"/>
      <c r="E64" s="88"/>
      <c r="F64" s="480"/>
      <c r="G64" s="480"/>
      <c r="H64" s="88"/>
      <c r="I64" s="88"/>
      <c r="J64" s="480"/>
      <c r="K64" s="88"/>
      <c r="L64" s="88"/>
      <c r="M64" s="88"/>
      <c r="N64" s="90">
        <f t="shared" si="3"/>
        <v>0</v>
      </c>
      <c r="P64" s="88"/>
      <c r="Q64" s="480"/>
    </row>
    <row r="65" spans="1:14">
      <c r="N65" s="835" t="str">
        <f>HAW!B28</f>
        <v>Kennwertverfahren NRW für HAW; HIS-Institut für Hochschulentwicklung e.V. (24.04.2026)</v>
      </c>
    </row>
    <row r="66" spans="1:14" ht="15" customHeight="1">
      <c r="A66" s="926" t="str">
        <f>CONCATENATE("Flächenbedarf ",HAW!B4," ",HAW!B5)</f>
        <v xml:space="preserve">Flächenbedarf Hochschule … </v>
      </c>
    </row>
    <row r="117" spans="3:3">
      <c r="C117" s="85"/>
    </row>
    <row r="124" spans="3:3" s="85" customFormat="1" ht="15" customHeight="1">
      <c r="C124" s="83"/>
    </row>
  </sheetData>
  <sheetProtection insertRows="0" selectLockedCells="1"/>
  <mergeCells count="4">
    <mergeCell ref="A3:C3"/>
    <mergeCell ref="E3:M3"/>
    <mergeCell ref="N3:N4"/>
    <mergeCell ref="P3:Q3"/>
  </mergeCells>
  <dataValidations disablePrompts="1" count="12">
    <dataValidation allowBlank="1" showInputMessage="1" showErrorMessage="1" prompt="Verknüpfung zu Zelle P11" sqref="Q42 Q55 Q29" xr:uid="{46B89254-30C3-4E32-BB5E-D5A9D7B12976}"/>
    <dataValidation allowBlank="1" showInputMessage="1" showErrorMessage="1" prompt="Verknüpfung zu Zelle P30" sqref="P42 P55 P29" xr:uid="{C9CF4E54-E364-4F7E-A46D-615306A8A5B1}"/>
    <dataValidation allowBlank="1" showInputMessage="1" showErrorMessage="1" prompt="Verknüpfung zu Zelle O34" sqref="L42 L55 L29" xr:uid="{816222F4-6CF3-49E3-81A0-71F309E94A3A}"/>
    <dataValidation allowBlank="1" showInputMessage="1" showErrorMessage="1" prompt="Verknüpfung zu Zelle N34" sqref="K42 K55 K29" xr:uid="{88CBAE59-1C53-4A5C-89EF-1C669E80708C}"/>
    <dataValidation allowBlank="1" showInputMessage="1" showErrorMessage="1" prompt="Verknüfung zu Zelle L34" sqref="I42 I55 I29" xr:uid="{F19ECDA5-E785-44FD-8232-5C72EF89DC0A}"/>
    <dataValidation allowBlank="1" showInputMessage="1" showErrorMessage="1" prompt="Verknüpfung zu Zelle K34" sqref="H42 H55 H29" xr:uid="{366AE0B0-FC4C-4815-AEC7-93968286DE2D}"/>
    <dataValidation allowBlank="1" showInputMessage="1" showErrorMessage="1" prompt="Verknüpfung zu Zelle J34" sqref="G42 G55 G29" xr:uid="{429BB3AB-D83D-481B-A248-A74598199C7F}"/>
    <dataValidation allowBlank="1" showInputMessage="1" showErrorMessage="1" prompt="Addieren Sie hier zwei Werte: Verknüpfung zu den Zellen I34 + M34" sqref="F42 F55 F29" xr:uid="{1DB85F67-21FE-4209-BC71-EE21FD1D0D91}"/>
    <dataValidation allowBlank="1" showInputMessage="1" showErrorMessage="1" prompt="Verknüpfung zu Zelle H34" sqref="E42 E55 E29" xr:uid="{D355A9FE-2EFC-45E9-974E-8312EBAA2A3E}"/>
    <dataValidation allowBlank="1" showInputMessage="1" showErrorMessage="1" prompt="Wenn Sie weitere Bemessungsblätter einfügen: Verknüpfen Sie in dieser Spalte zu Zelle B13 des jeweiligen Bemessungsblatts." sqref="C42 C55 C29" xr:uid="{1C9C9487-A56D-4E02-95CB-8B8FAEF83C1F}"/>
    <dataValidation allowBlank="1" showInputMessage="1" showErrorMessage="1" prompt="Wenn Sie weitere Bemessungsblätter einfügen: Verknüpfen Sie in dieser Spalte zu Zelle B10 des jeweiligen Bemessungsblatts." sqref="B42 B55 B29" xr:uid="{A314F83A-218A-43FA-906C-B65D7C425D23}"/>
    <dataValidation allowBlank="1" showInputMessage="1" showErrorMessage="1" prompt="Wenn Sie weitere Bemessungsblätter einfügen: Verknüpfen Sie in dieser Spalte zu Zelle B9 des jeweiligen Bemessungsblatts." sqref="A42 A55 A29" xr:uid="{67C21396-55D2-45AB-9D3C-F7518E18D3BD}"/>
  </dataValidations>
  <pageMargins left="0.78740157480314965" right="0.78740157480314965" top="0.78740157480314965" bottom="0.59055118110236227" header="0.51181102362204722" footer="0.28000000000000003"/>
  <pageSetup paperSize="9" scale="92" orientation="landscape" r:id="rId1"/>
  <headerFooter alignWithMargins="0">
    <oddFooter>&amp;C&amp;8Seite &amp;P von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89967-9D6B-492B-8FA4-A80AB1D5A3A9}">
  <sheetPr codeName="Tabelle5">
    <tabColor theme="9" tint="-0.249977111117893"/>
  </sheetPr>
  <dimension ref="A1:X156"/>
  <sheetViews>
    <sheetView showGridLines="0" showZeros="0" zoomScale="115" zoomScaleNormal="115" zoomScaleSheetLayoutView="115" workbookViewId="0">
      <selection activeCell="B9" sqref="B9"/>
    </sheetView>
  </sheetViews>
  <sheetFormatPr baseColWidth="10" defaultColWidth="11.453125" defaultRowHeight="10"/>
  <cols>
    <col min="1" max="1" width="0.54296875" style="1" customWidth="1"/>
    <col min="2" max="2" width="9.54296875" style="1" customWidth="1"/>
    <col min="3" max="3" width="6.54296875" style="1" customWidth="1"/>
    <col min="4" max="4" width="5.54296875" style="1" customWidth="1"/>
    <col min="5" max="5" width="5.453125" style="1" customWidth="1"/>
    <col min="6" max="6" width="1.81640625" style="1" customWidth="1"/>
    <col min="7" max="7" width="1.453125" style="1" customWidth="1"/>
    <col min="8" max="9" width="7.453125" style="1" customWidth="1"/>
    <col min="10" max="10" width="7.453125" style="42" customWidth="1"/>
    <col min="11" max="11" width="7.453125" style="1" customWidth="1"/>
    <col min="12" max="12" width="7.453125" style="42" customWidth="1"/>
    <col min="13" max="13" width="7.453125" style="1" customWidth="1"/>
    <col min="14" max="15" width="7.453125" style="42" customWidth="1"/>
    <col min="16" max="16" width="8.54296875" style="42" customWidth="1"/>
    <col min="17" max="17" width="7.453125" style="42" customWidth="1"/>
    <col min="18" max="18" width="0.81640625" style="42" customWidth="1"/>
    <col min="19" max="19" width="7.453125" style="42" customWidth="1"/>
    <col min="20" max="20" width="1.1796875" style="1" customWidth="1"/>
    <col min="21" max="21" width="7.1796875" style="202" customWidth="1"/>
    <col min="22" max="24" width="7.26953125" style="202" customWidth="1"/>
    <col min="25" max="16384" width="11.453125" style="1"/>
  </cols>
  <sheetData>
    <row r="1" spans="1:24" ht="13" customHeight="1">
      <c r="A1" s="7"/>
      <c r="B1" s="8"/>
      <c r="C1" s="8"/>
      <c r="D1" s="8"/>
      <c r="E1" s="8"/>
      <c r="F1" s="9"/>
      <c r="H1" s="214"/>
      <c r="I1" s="216"/>
      <c r="J1" s="108"/>
      <c r="K1" s="9"/>
      <c r="L1" s="1364" t="s">
        <v>57</v>
      </c>
      <c r="M1" s="1364" t="s">
        <v>108</v>
      </c>
      <c r="N1" s="1364" t="s">
        <v>126</v>
      </c>
      <c r="O1" s="1364" t="s">
        <v>58</v>
      </c>
      <c r="P1" s="1356" t="s">
        <v>11</v>
      </c>
      <c r="Q1" s="1358" t="s">
        <v>113</v>
      </c>
      <c r="R1" s="341"/>
      <c r="S1" s="332"/>
    </row>
    <row r="2" spans="1:24" ht="38.15" customHeight="1">
      <c r="A2" s="13"/>
      <c r="B2" s="2" t="s">
        <v>24</v>
      </c>
      <c r="C2" s="96"/>
      <c r="D2" s="96"/>
      <c r="E2" s="96"/>
      <c r="F2" s="97"/>
      <c r="H2" s="210" t="s">
        <v>111</v>
      </c>
      <c r="I2" s="3"/>
      <c r="J2" s="49"/>
      <c r="K2" s="14"/>
      <c r="L2" s="1365"/>
      <c r="M2" s="1365"/>
      <c r="N2" s="1365"/>
      <c r="O2" s="1365"/>
      <c r="P2" s="1357"/>
      <c r="Q2" s="1359"/>
      <c r="R2" s="341"/>
      <c r="S2" s="332"/>
      <c r="V2" s="12" t="s">
        <v>863</v>
      </c>
    </row>
    <row r="3" spans="1:24" ht="3" customHeight="1">
      <c r="A3" s="98"/>
      <c r="B3" s="99"/>
      <c r="C3" s="99"/>
      <c r="D3" s="99"/>
      <c r="E3" s="99"/>
      <c r="F3" s="100"/>
      <c r="H3" s="215"/>
      <c r="I3" s="217"/>
      <c r="J3" s="218"/>
      <c r="K3" s="100"/>
      <c r="L3" s="4"/>
      <c r="M3" s="4"/>
      <c r="N3" s="4"/>
      <c r="O3" s="4"/>
      <c r="P3" s="5"/>
      <c r="Q3" s="6"/>
      <c r="R3" s="333"/>
      <c r="S3" s="333"/>
    </row>
    <row r="4" spans="1:24">
      <c r="A4" s="2"/>
      <c r="B4" s="2"/>
      <c r="C4" s="2"/>
      <c r="D4" s="2"/>
      <c r="E4" s="2"/>
      <c r="F4" s="2"/>
      <c r="H4" s="3"/>
      <c r="I4" s="3"/>
      <c r="K4" s="10"/>
      <c r="L4" s="11"/>
      <c r="M4" s="3"/>
      <c r="N4" s="11"/>
      <c r="O4" s="11"/>
      <c r="P4" s="11"/>
      <c r="Q4" s="12"/>
      <c r="R4" s="12"/>
      <c r="S4" s="12"/>
    </row>
    <row r="5" spans="1:24" ht="11.25" customHeight="1">
      <c r="A5" s="7"/>
      <c r="B5" s="8"/>
      <c r="C5" s="8"/>
      <c r="D5" s="8"/>
      <c r="E5" s="8"/>
      <c r="F5" s="9"/>
      <c r="H5" s="15" t="s">
        <v>87</v>
      </c>
      <c r="I5" s="3"/>
      <c r="K5" s="10"/>
      <c r="L5" s="11"/>
      <c r="M5" s="3"/>
      <c r="N5" s="11"/>
      <c r="O5" s="11"/>
      <c r="P5" s="11"/>
      <c r="Q5" s="12"/>
      <c r="R5" s="12"/>
      <c r="S5" s="12"/>
      <c r="V5" s="1225"/>
      <c r="W5" s="1226"/>
      <c r="X5" s="1227"/>
    </row>
    <row r="6" spans="1:24" s="19" customFormat="1" ht="11.5" customHeight="1">
      <c r="A6" s="16"/>
      <c r="B6" s="24"/>
      <c r="C6" s="17"/>
      <c r="D6" s="17"/>
      <c r="E6" s="17"/>
      <c r="F6" s="18"/>
      <c r="H6" s="203" t="s">
        <v>0</v>
      </c>
      <c r="I6" s="17"/>
      <c r="L6" s="339">
        <f>IF(E15&gt;0,E15,0)</f>
        <v>0</v>
      </c>
      <c r="M6" s="20">
        <f>IF(E15&gt;0,'HAW-Kennwerte'!C9,0)</f>
        <v>0</v>
      </c>
      <c r="N6" s="205">
        <f>IF(L6&gt;0,IF(E21="ja",'HAW-Kennwerte'!D9,1),0)</f>
        <v>0</v>
      </c>
      <c r="O6" s="22"/>
      <c r="P6" s="23">
        <f>L6*M6*N6</f>
        <v>0</v>
      </c>
      <c r="Q6" s="328">
        <f>IF(P6&gt;0,'HAW-Kennwerte'!Z9,0)</f>
        <v>0</v>
      </c>
      <c r="R6" s="328"/>
      <c r="S6" s="328"/>
      <c r="U6" s="203"/>
      <c r="V6" s="1200"/>
      <c r="W6" s="1201"/>
      <c r="X6" s="1202"/>
    </row>
    <row r="7" spans="1:24" s="19" customFormat="1" ht="11.5" customHeight="1">
      <c r="A7" s="16"/>
      <c r="B7" s="928" t="str">
        <f>HAW!B4</f>
        <v>Hochschule …</v>
      </c>
      <c r="C7" s="928"/>
      <c r="D7" s="928"/>
      <c r="E7" s="928"/>
      <c r="F7" s="18"/>
      <c r="H7" s="203" t="s">
        <v>1</v>
      </c>
      <c r="I7" s="17"/>
      <c r="L7" s="340">
        <f>IF(E15-E16&lt;0,0,IF(E23&gt;E16,0,E16))</f>
        <v>0</v>
      </c>
      <c r="M7" s="895">
        <f>IF(L7&gt;0,'HAW-Kennwerte'!I9,0)</f>
        <v>0</v>
      </c>
      <c r="N7" s="205"/>
      <c r="O7" s="896">
        <f>IFERROR(IF(L7&gt;0,(E23*(E24*'HAW-Kennwerte'!K9+E25*'HAW-Kennwerte'!M9))/(E16*M7),0),"")</f>
        <v>0</v>
      </c>
      <c r="P7" s="27">
        <f>IFERROR(L7*M7*O7,"")</f>
        <v>0</v>
      </c>
      <c r="Q7" s="329">
        <f>IF(P7&gt;0,'HAW-Kennwerte'!AA9,0)</f>
        <v>0</v>
      </c>
      <c r="R7" s="329"/>
      <c r="S7" s="329"/>
      <c r="U7" s="203"/>
      <c r="V7" s="1200"/>
      <c r="W7" s="1201"/>
      <c r="X7" s="1202"/>
    </row>
    <row r="8" spans="1:24" s="19" customFormat="1" ht="11.5" customHeight="1">
      <c r="A8" s="16"/>
      <c r="B8" s="473">
        <f>HAW!B5</f>
        <v>0</v>
      </c>
      <c r="F8" s="18"/>
      <c r="H8" s="203" t="s">
        <v>86</v>
      </c>
      <c r="I8" s="17"/>
      <c r="L8" s="29"/>
      <c r="M8" s="20"/>
      <c r="N8" s="21"/>
      <c r="O8" s="22"/>
      <c r="P8" s="352"/>
      <c r="Q8" s="329"/>
      <c r="R8" s="329"/>
      <c r="S8" s="329"/>
      <c r="U8" s="203"/>
      <c r="V8" s="1228"/>
      <c r="W8" s="1229"/>
      <c r="X8" s="1230"/>
    </row>
    <row r="9" spans="1:24" s="19" customFormat="1" ht="11.5" customHeight="1">
      <c r="A9" s="16"/>
      <c r="B9" s="346" t="s">
        <v>93</v>
      </c>
      <c r="C9" s="347"/>
      <c r="D9" s="347"/>
      <c r="E9" s="347"/>
      <c r="F9" s="18"/>
      <c r="H9" s="203" t="s">
        <v>159</v>
      </c>
      <c r="I9" s="17"/>
      <c r="L9" s="339"/>
      <c r="M9" s="30"/>
      <c r="N9" s="21"/>
      <c r="O9" s="22"/>
      <c r="P9" s="52"/>
      <c r="Q9" s="329"/>
      <c r="R9" s="329"/>
      <c r="S9" s="329"/>
      <c r="U9" s="203"/>
      <c r="V9" s="1228"/>
      <c r="W9" s="1229"/>
      <c r="X9" s="1230"/>
    </row>
    <row r="10" spans="1:24" s="19" customFormat="1" ht="11.5" customHeight="1">
      <c r="A10" s="16"/>
      <c r="B10" s="346" t="s">
        <v>92</v>
      </c>
      <c r="C10" s="348"/>
      <c r="D10" s="348"/>
      <c r="E10" s="348"/>
      <c r="F10" s="18"/>
      <c r="H10" s="204" t="s">
        <v>19</v>
      </c>
      <c r="I10" s="17"/>
      <c r="L10" s="765">
        <f>IF(SUM($E$17:$E$18)&gt;0,$S$84,0)</f>
        <v>0</v>
      </c>
      <c r="M10" s="30">
        <f>IF(L10&gt;0,'HAW-Kennwerte'!R9,0)</f>
        <v>0</v>
      </c>
      <c r="N10" s="205">
        <f>IF(L10&gt;0,E19,0)</f>
        <v>0</v>
      </c>
      <c r="O10" s="26">
        <f>IF(E84&gt;0.15,0,IFERROR((M10+M10*0.9*E84*0.4)/M10,0))</f>
        <v>0</v>
      </c>
      <c r="P10" s="27">
        <f>L10*N10*(M10*O10+IF(E86="ja",'HAW-Kennwerte'!$R$29,0))</f>
        <v>0</v>
      </c>
      <c r="Q10" s="329"/>
      <c r="R10" s="329"/>
      <c r="S10" s="329"/>
      <c r="U10" s="203"/>
      <c r="V10" s="1200"/>
      <c r="W10" s="1201"/>
      <c r="X10" s="1202"/>
    </row>
    <row r="11" spans="1:24" s="19" customFormat="1" ht="11.5" customHeight="1">
      <c r="A11" s="16"/>
      <c r="B11" s="56"/>
      <c r="C11" s="56"/>
      <c r="D11" s="56"/>
      <c r="E11" s="56"/>
      <c r="F11" s="18"/>
      <c r="H11" s="204" t="s">
        <v>91</v>
      </c>
      <c r="I11" s="17"/>
      <c r="L11" s="765">
        <f>IF(SUM($E$17:$E$18)&gt;0,SUM($E$17:$E$18),0)</f>
        <v>0</v>
      </c>
      <c r="M11" s="249">
        <f>IF(L11&gt;0,'HAW-Kennwerte'!S9,0)</f>
        <v>0</v>
      </c>
      <c r="N11" s="205">
        <f>IF(L11&gt;0,E19,0)</f>
        <v>0</v>
      </c>
      <c r="O11" s="22"/>
      <c r="P11" s="31">
        <f>L11*M11*N11</f>
        <v>0</v>
      </c>
      <c r="Q11" s="329"/>
      <c r="R11" s="329"/>
      <c r="S11" s="329"/>
      <c r="U11" s="203"/>
      <c r="V11" s="1200"/>
      <c r="W11" s="1201"/>
      <c r="X11" s="1202"/>
    </row>
    <row r="12" spans="1:24" s="19" customFormat="1" ht="11.5" customHeight="1">
      <c r="A12" s="16"/>
      <c r="B12" s="24" t="s">
        <v>8</v>
      </c>
      <c r="F12" s="18"/>
      <c r="H12" s="204" t="s">
        <v>109</v>
      </c>
      <c r="I12" s="17"/>
      <c r="L12" s="766">
        <f>IF($E$17&gt;0,$E$17,0)</f>
        <v>0</v>
      </c>
      <c r="M12" s="30">
        <f>IF(L12&gt;0,'HAW-Kennwerte'!U9,0)</f>
        <v>0</v>
      </c>
      <c r="N12" s="205">
        <f>IF(L12&gt;0,IF(E19=0,0,IF(E19&lt;0.7,0.7,E19)),0)</f>
        <v>0</v>
      </c>
      <c r="O12" s="22"/>
      <c r="P12" s="31">
        <f>L12*M12*N12</f>
        <v>0</v>
      </c>
      <c r="Q12" s="329">
        <f>IF(P12&gt;0,'HAW-Kennwerte'!AA9,0)</f>
        <v>0</v>
      </c>
      <c r="R12" s="329"/>
      <c r="S12" s="329"/>
      <c r="U12" s="203"/>
      <c r="V12" s="1200"/>
      <c r="W12" s="1201"/>
      <c r="X12" s="1202"/>
    </row>
    <row r="13" spans="1:24" s="19" customFormat="1" ht="11.5" customHeight="1">
      <c r="A13" s="16"/>
      <c r="B13" s="56" t="s">
        <v>122</v>
      </c>
      <c r="F13" s="18"/>
      <c r="H13" s="204" t="s">
        <v>110</v>
      </c>
      <c r="I13" s="17"/>
      <c r="L13" s="766">
        <f>IF($E$18&gt;0,$E$18,0)</f>
        <v>0</v>
      </c>
      <c r="M13" s="30">
        <f>IF(L13&gt;0,'HAW-Kennwerte'!X9,0)</f>
        <v>0</v>
      </c>
      <c r="N13" s="205">
        <f>IF(L13&gt;0,IF(E19=0,0,IF(E19&lt;0.7,0.7,E19)),0)</f>
        <v>0</v>
      </c>
      <c r="O13" s="22"/>
      <c r="P13" s="31">
        <f>L13*M13*N13</f>
        <v>0</v>
      </c>
      <c r="Q13" s="329">
        <f>IF(P13&gt;0,'HAW-Kennwerte'!AA9,0)</f>
        <v>0</v>
      </c>
      <c r="R13" s="329"/>
      <c r="S13" s="329"/>
      <c r="U13" s="203"/>
      <c r="V13" s="1200"/>
      <c r="W13" s="1201"/>
      <c r="X13" s="1202"/>
    </row>
    <row r="14" spans="1:24" s="19" customFormat="1" ht="11.5" customHeight="1">
      <c r="A14" s="16"/>
      <c r="B14" s="473" t="s">
        <v>123</v>
      </c>
      <c r="C14" s="56"/>
      <c r="F14" s="18"/>
      <c r="H14" s="203" t="s">
        <v>20</v>
      </c>
      <c r="I14" s="17"/>
      <c r="K14" s="112"/>
      <c r="L14" s="32"/>
      <c r="M14" s="17"/>
      <c r="N14" s="32"/>
      <c r="O14" s="33"/>
      <c r="P14" s="34">
        <f>SUMPRODUCT(P6:P13,Q6:Q13)</f>
        <v>0</v>
      </c>
      <c r="Q14" s="330"/>
      <c r="R14" s="330"/>
      <c r="S14" s="330"/>
      <c r="U14" s="203"/>
      <c r="V14" s="1200"/>
      <c r="W14" s="1201"/>
      <c r="X14" s="1202"/>
    </row>
    <row r="15" spans="1:24" s="19" customFormat="1" ht="10.5">
      <c r="A15" s="16"/>
      <c r="B15" s="17"/>
      <c r="C15" s="17"/>
      <c r="D15" s="246" t="s">
        <v>73</v>
      </c>
      <c r="E15" s="349"/>
      <c r="F15" s="18"/>
      <c r="H15" s="17"/>
      <c r="I15" s="17"/>
      <c r="K15" s="35"/>
      <c r="L15" s="36"/>
      <c r="M15" s="17"/>
      <c r="N15" s="35"/>
      <c r="O15" s="35"/>
      <c r="P15" s="38">
        <f>SUM(P6:P14)</f>
        <v>0</v>
      </c>
      <c r="Q15" s="330"/>
      <c r="R15" s="330"/>
      <c r="S15" s="330"/>
      <c r="U15" s="203"/>
      <c r="V15" s="1228"/>
      <c r="W15" s="1229"/>
      <c r="X15" s="1230"/>
    </row>
    <row r="16" spans="1:24" s="19" customFormat="1" ht="11.25" customHeight="1">
      <c r="A16" s="16"/>
      <c r="B16" s="17"/>
      <c r="D16" s="223" t="s">
        <v>75</v>
      </c>
      <c r="E16" s="349"/>
      <c r="F16" s="18"/>
      <c r="H16" s="17"/>
      <c r="I16" s="17"/>
      <c r="K16" s="35"/>
      <c r="L16" s="36"/>
      <c r="M16" s="17"/>
      <c r="N16" s="35"/>
      <c r="O16" s="35"/>
      <c r="Q16" s="330"/>
      <c r="R16" s="330"/>
      <c r="S16" s="330"/>
      <c r="U16" s="203"/>
      <c r="V16" s="1228"/>
      <c r="W16" s="1229"/>
      <c r="X16" s="1230"/>
    </row>
    <row r="17" spans="1:24" s="19" customFormat="1">
      <c r="A17" s="16"/>
      <c r="B17" s="17"/>
      <c r="C17" s="17"/>
      <c r="D17" s="223" t="s">
        <v>185</v>
      </c>
      <c r="E17" s="764">
        <f>L84</f>
        <v>0</v>
      </c>
      <c r="F17" s="18"/>
      <c r="H17" s="24" t="s">
        <v>12</v>
      </c>
      <c r="I17" s="17"/>
      <c r="K17" s="35"/>
      <c r="L17" s="36"/>
      <c r="M17" s="17"/>
      <c r="N17" s="35"/>
      <c r="O17" s="35"/>
      <c r="P17" s="37"/>
      <c r="Q17" s="330"/>
      <c r="R17" s="330"/>
      <c r="S17" s="330"/>
      <c r="U17" s="203"/>
      <c r="V17" s="1228"/>
      <c r="W17" s="1229"/>
      <c r="X17" s="1230"/>
    </row>
    <row r="18" spans="1:24" s="19" customFormat="1" ht="11.5" customHeight="1">
      <c r="A18" s="16"/>
      <c r="B18" s="17"/>
      <c r="C18" s="17"/>
      <c r="D18" s="223" t="s">
        <v>186</v>
      </c>
      <c r="E18" s="764">
        <f>Q84</f>
        <v>0</v>
      </c>
      <c r="F18" s="18"/>
      <c r="H18" s="203" t="s">
        <v>0</v>
      </c>
      <c r="I18" s="17"/>
      <c r="L18" s="39">
        <f>E20/100</f>
        <v>0</v>
      </c>
      <c r="M18" s="30">
        <f>IF(N46=0,IF(E20&gt;0,'HAW-Kennwerte'!F9,0),'HAW-Kennwerte'!E9*81600/N46)</f>
        <v>0</v>
      </c>
      <c r="N18" s="205">
        <f>IF(L18&gt;0,IF(E21="ja",'HAW-Kennwerte'!G9,1),0)</f>
        <v>0</v>
      </c>
      <c r="O18" s="205"/>
      <c r="P18" s="23">
        <f>L18*M18*N18</f>
        <v>0</v>
      </c>
      <c r="Q18" s="328">
        <f>IF(P18&gt;0,Q6,0)</f>
        <v>0</v>
      </c>
      <c r="R18" s="328"/>
      <c r="S18" s="328"/>
      <c r="U18" s="203"/>
      <c r="V18" s="1200"/>
      <c r="W18" s="1201"/>
      <c r="X18" s="1202"/>
    </row>
    <row r="19" spans="1:24" s="19" customFormat="1" ht="11.5" customHeight="1">
      <c r="A19" s="16"/>
      <c r="B19" s="17"/>
      <c r="C19" s="17"/>
      <c r="D19" s="53" t="s">
        <v>27</v>
      </c>
      <c r="E19" s="688">
        <f>S88</f>
        <v>0</v>
      </c>
      <c r="F19" s="18"/>
      <c r="H19" s="203" t="s">
        <v>1</v>
      </c>
      <c r="I19" s="17"/>
      <c r="L19" s="39">
        <f>IF(M19=0,0,L18)</f>
        <v>0</v>
      </c>
      <c r="M19" s="30">
        <f>IF(N46=0,IF(E20=0,0,IF(P7=0,0,'HAW-Kennwerte'!P9)),'HAW-Kennwerte'!O9*81600/N46)</f>
        <v>0</v>
      </c>
      <c r="N19" s="25"/>
      <c r="O19" s="25"/>
      <c r="P19" s="27">
        <f>L19*M19</f>
        <v>0</v>
      </c>
      <c r="Q19" s="329">
        <f>IF(P19&gt;0,Q$7,0)</f>
        <v>0</v>
      </c>
      <c r="R19" s="329"/>
      <c r="S19" s="329"/>
      <c r="U19" s="203"/>
      <c r="V19" s="1200"/>
      <c r="W19" s="1201"/>
      <c r="X19" s="1202"/>
    </row>
    <row r="20" spans="1:24" s="19" customFormat="1" ht="11.5" customHeight="1">
      <c r="A20" s="16"/>
      <c r="B20" s="17"/>
      <c r="C20" s="17"/>
      <c r="D20" s="53" t="s">
        <v>28</v>
      </c>
      <c r="E20" s="55">
        <f>H47</f>
        <v>0</v>
      </c>
      <c r="F20" s="18"/>
      <c r="H20" s="203" t="s">
        <v>159</v>
      </c>
      <c r="I20" s="17"/>
      <c r="L20" s="339"/>
      <c r="M20" s="30"/>
      <c r="N20" s="21"/>
      <c r="O20" s="22"/>
      <c r="P20" s="52"/>
      <c r="Q20" s="329"/>
      <c r="R20" s="329"/>
      <c r="S20" s="329"/>
      <c r="U20" s="203"/>
      <c r="V20" s="1228"/>
      <c r="W20" s="1229"/>
      <c r="X20" s="1230"/>
    </row>
    <row r="21" spans="1:24" s="19" customFormat="1" ht="11.5" customHeight="1">
      <c r="A21" s="16"/>
      <c r="B21" s="17"/>
      <c r="C21" s="17"/>
      <c r="D21" s="223" t="s">
        <v>247</v>
      </c>
      <c r="E21" s="793" t="s">
        <v>248</v>
      </c>
      <c r="F21" s="18"/>
      <c r="H21" s="203" t="s">
        <v>20</v>
      </c>
      <c r="I21" s="17"/>
      <c r="P21" s="34">
        <f>SUMPRODUCT(P18:P20,Q18:Q20)</f>
        <v>0</v>
      </c>
      <c r="Q21" s="329"/>
      <c r="R21" s="329"/>
      <c r="S21" s="329"/>
      <c r="U21" s="203"/>
      <c r="V21" s="1200"/>
      <c r="W21" s="1201"/>
      <c r="X21" s="1202"/>
    </row>
    <row r="22" spans="1:24" s="19" customFormat="1" ht="11.5" customHeight="1">
      <c r="A22" s="16"/>
      <c r="B22" s="17"/>
      <c r="C22" s="2"/>
      <c r="F22" s="18"/>
      <c r="I22" s="17"/>
      <c r="K22" s="17"/>
      <c r="L22" s="213"/>
      <c r="M22" s="17"/>
      <c r="N22" s="112"/>
      <c r="O22" s="212"/>
      <c r="P22" s="38">
        <f>SUM(P18:P21)</f>
        <v>0</v>
      </c>
      <c r="Q22" s="28"/>
      <c r="R22" s="28"/>
      <c r="S22" s="28"/>
      <c r="U22" s="203"/>
      <c r="V22" s="1228"/>
      <c r="W22" s="1229"/>
      <c r="X22" s="1230"/>
    </row>
    <row r="23" spans="1:24" s="19" customFormat="1" ht="11.5" customHeight="1">
      <c r="A23" s="16"/>
      <c r="B23" s="17"/>
      <c r="C23" s="17"/>
      <c r="D23" s="223" t="s">
        <v>127</v>
      </c>
      <c r="E23" s="349">
        <f>P103</f>
        <v>0</v>
      </c>
      <c r="F23" s="18"/>
      <c r="I23" s="17"/>
      <c r="J23" s="112"/>
      <c r="K23" s="17"/>
      <c r="L23" s="44"/>
      <c r="M23" s="17"/>
      <c r="N23" s="112"/>
      <c r="O23" s="212"/>
      <c r="Q23" s="1184"/>
      <c r="R23" s="40"/>
      <c r="S23" s="40"/>
      <c r="U23" s="203"/>
      <c r="V23" s="1228"/>
      <c r="W23" s="1229"/>
      <c r="X23" s="1230"/>
    </row>
    <row r="24" spans="1:24" ht="12.65" customHeight="1">
      <c r="A24" s="13"/>
      <c r="B24" s="2"/>
      <c r="C24" s="17"/>
      <c r="D24" s="53" t="s">
        <v>13</v>
      </c>
      <c r="E24" s="479" t="str">
        <f>P104</f>
        <v/>
      </c>
      <c r="F24" s="14"/>
      <c r="I24" s="24" t="s">
        <v>15</v>
      </c>
      <c r="K24" s="17"/>
      <c r="L24" s="41"/>
      <c r="M24" s="2"/>
      <c r="P24" s="43"/>
      <c r="Q24" s="1186" t="s">
        <v>789</v>
      </c>
      <c r="R24" s="12"/>
      <c r="S24" s="12"/>
      <c r="V24" s="1231"/>
      <c r="W24" s="1232"/>
      <c r="X24" s="1174"/>
    </row>
    <row r="25" spans="1:24" ht="11.15" customHeight="1">
      <c r="A25" s="13"/>
      <c r="B25" s="2"/>
      <c r="D25" s="53" t="s">
        <v>14</v>
      </c>
      <c r="E25" s="57">
        <f>IF(E23&gt;0,IF(E24="",0,1-E24),0)</f>
        <v>0</v>
      </c>
      <c r="F25" s="14"/>
      <c r="I25" s="1167" t="s">
        <v>293</v>
      </c>
      <c r="J25" s="359"/>
      <c r="K25" s="359"/>
      <c r="L25" s="360"/>
      <c r="M25" s="361"/>
      <c r="N25" s="362"/>
      <c r="P25" s="351"/>
      <c r="Q25" s="718"/>
      <c r="R25" s="788"/>
      <c r="S25" s="788"/>
      <c r="V25" s="1231"/>
      <c r="W25" s="1232"/>
      <c r="X25" s="1174"/>
    </row>
    <row r="26" spans="1:24">
      <c r="A26" s="13"/>
      <c r="B26" s="2"/>
      <c r="C26" s="2"/>
      <c r="D26" s="2"/>
      <c r="E26" s="2"/>
      <c r="F26" s="14"/>
      <c r="I26" s="1168"/>
      <c r="J26" s="363"/>
      <c r="K26" s="363"/>
      <c r="L26" s="364"/>
      <c r="M26" s="363"/>
      <c r="N26" s="365"/>
      <c r="P26" s="352"/>
      <c r="Q26" s="718"/>
      <c r="R26" s="788"/>
      <c r="S26" s="788"/>
      <c r="V26" s="1231"/>
      <c r="W26" s="1232"/>
      <c r="X26" s="1174"/>
    </row>
    <row r="27" spans="1:24" s="19" customFormat="1" ht="11.5" customHeight="1">
      <c r="A27" s="16"/>
      <c r="B27" s="17"/>
      <c r="C27" s="53" t="s">
        <v>29</v>
      </c>
      <c r="D27" s="1360">
        <f>HAW!D24</f>
        <v>0</v>
      </c>
      <c r="E27" s="1361"/>
      <c r="F27" s="18"/>
      <c r="I27" s="1168"/>
      <c r="J27" s="366"/>
      <c r="K27" s="366"/>
      <c r="L27" s="366"/>
      <c r="M27" s="366"/>
      <c r="N27" s="367"/>
      <c r="O27" s="35"/>
      <c r="P27" s="352"/>
      <c r="Q27" s="719"/>
      <c r="R27" s="789"/>
      <c r="S27" s="789"/>
      <c r="U27" s="203"/>
      <c r="V27" s="1228"/>
      <c r="W27" s="1229"/>
      <c r="X27" s="1230"/>
    </row>
    <row r="28" spans="1:24" s="19" customFormat="1" ht="11.5" customHeight="1">
      <c r="A28" s="16"/>
      <c r="B28" s="17"/>
      <c r="C28" s="53" t="s">
        <v>30</v>
      </c>
      <c r="D28" s="1362">
        <f>HAW!D25</f>
        <v>0</v>
      </c>
      <c r="E28" s="1363"/>
      <c r="F28" s="18"/>
      <c r="I28" s="1168"/>
      <c r="J28" s="366"/>
      <c r="K28" s="366"/>
      <c r="L28" s="366"/>
      <c r="M28" s="366"/>
      <c r="N28" s="366"/>
      <c r="P28" s="352"/>
      <c r="Q28" s="719"/>
      <c r="R28" s="789"/>
      <c r="S28" s="789"/>
      <c r="U28" s="203"/>
      <c r="V28" s="1228"/>
      <c r="W28" s="1229"/>
      <c r="X28" s="1230"/>
    </row>
    <row r="29" spans="1:24" s="19" customFormat="1" ht="11.5" customHeight="1">
      <c r="A29" s="102"/>
      <c r="B29" s="103"/>
      <c r="C29" s="103"/>
      <c r="D29" s="103"/>
      <c r="E29" s="103"/>
      <c r="F29" s="104"/>
      <c r="I29" s="1168"/>
      <c r="J29" s="366"/>
      <c r="K29" s="366"/>
      <c r="L29" s="366"/>
      <c r="M29" s="366"/>
      <c r="N29" s="366"/>
      <c r="P29" s="353"/>
      <c r="Q29" s="719"/>
      <c r="R29" s="789"/>
      <c r="S29" s="789"/>
      <c r="U29" s="203"/>
      <c r="V29" s="1228"/>
      <c r="W29" s="1229"/>
      <c r="X29" s="1230"/>
    </row>
    <row r="30" spans="1:24" s="19" customFormat="1" ht="11.25" customHeight="1">
      <c r="A30" s="17"/>
      <c r="I30" s="17"/>
      <c r="P30" s="38">
        <f>SUM(P25:P29)</f>
        <v>0</v>
      </c>
      <c r="Q30" s="40"/>
      <c r="R30" s="40"/>
      <c r="S30" s="40"/>
      <c r="U30" s="203"/>
      <c r="V30" s="1228"/>
      <c r="W30" s="1229"/>
      <c r="X30" s="1230"/>
    </row>
    <row r="31" spans="1:24" ht="11.25" customHeight="1">
      <c r="A31" s="2"/>
      <c r="B31" s="2"/>
      <c r="C31" s="2"/>
      <c r="H31" s="106"/>
      <c r="I31" s="224"/>
      <c r="J31" s="225"/>
      <c r="K31" s="224"/>
      <c r="L31" s="226"/>
      <c r="M31" s="225"/>
      <c r="N31" s="107"/>
      <c r="O31" s="107"/>
      <c r="P31" s="227"/>
      <c r="Q31" s="50"/>
      <c r="R31" s="50"/>
      <c r="S31" s="50"/>
      <c r="V31" s="1231"/>
      <c r="W31" s="1232"/>
      <c r="X31" s="1174"/>
    </row>
    <row r="32" spans="1:24" ht="11.25" customHeight="1">
      <c r="A32" s="2"/>
      <c r="B32" s="2"/>
      <c r="C32" s="2"/>
      <c r="I32" s="47"/>
      <c r="J32" s="24"/>
      <c r="K32" s="47"/>
      <c r="L32" s="48"/>
      <c r="M32" s="24"/>
      <c r="N32" s="49"/>
      <c r="O32" s="49"/>
      <c r="P32" s="50"/>
      <c r="Q32" s="50"/>
      <c r="R32" s="50"/>
      <c r="S32" s="50"/>
      <c r="V32" s="1231"/>
      <c r="W32" s="1232"/>
      <c r="X32" s="1174"/>
    </row>
    <row r="33" spans="1:24" ht="50.15" customHeight="1" thickBot="1">
      <c r="A33" s="2"/>
      <c r="B33" s="2"/>
      <c r="C33" s="2"/>
      <c r="D33" s="2"/>
      <c r="F33" s="219" t="s">
        <v>16</v>
      </c>
      <c r="G33" s="2"/>
      <c r="H33" s="220" t="s">
        <v>0</v>
      </c>
      <c r="I33" s="220" t="s">
        <v>1</v>
      </c>
      <c r="J33" s="221" t="s">
        <v>197</v>
      </c>
      <c r="K33" s="221" t="s">
        <v>159</v>
      </c>
      <c r="L33" s="221" t="s">
        <v>198</v>
      </c>
      <c r="M33" s="221" t="s">
        <v>22</v>
      </c>
      <c r="N33" s="220" t="s">
        <v>20</v>
      </c>
      <c r="O33" s="221" t="s">
        <v>199</v>
      </c>
      <c r="T33" s="77"/>
      <c r="V33" s="1231"/>
      <c r="W33" s="1232"/>
      <c r="X33" s="1174"/>
    </row>
    <row r="34" spans="1:24" ht="17.149999999999999" customHeight="1" thickBot="1">
      <c r="B34" s="2"/>
      <c r="C34" s="2"/>
      <c r="D34" s="2"/>
      <c r="G34" s="2"/>
      <c r="H34" s="222">
        <f>P6+P18+SUMIF(Q25:Q29,H33,P25:P29)</f>
        <v>0</v>
      </c>
      <c r="I34" s="222">
        <f>IFERROR(P7+P19+SUMIF(Q25:Q29,I33,P25:P29),"")</f>
        <v>0</v>
      </c>
      <c r="J34" s="222">
        <f>P8+SUMIF(Q25:Q29,J33,P25:P29)</f>
        <v>0</v>
      </c>
      <c r="K34" s="222">
        <f>SUMIF(Q25:Q29,K33,P25:P29)</f>
        <v>0</v>
      </c>
      <c r="L34" s="222">
        <f>P10+P11+SUMIF(Q25:Q29,L33,P25:P29)</f>
        <v>0</v>
      </c>
      <c r="M34" s="222">
        <f>P12+P13+SUMIF(Q25:Q29,M33,P25:P29)</f>
        <v>0</v>
      </c>
      <c r="N34" s="222">
        <f>P14+P21+SUMIF(Q25:Q29,N33,P25:P29)</f>
        <v>0</v>
      </c>
      <c r="O34" s="222">
        <f>SUMIF(Q25:Q29,O33,P25:P29)</f>
        <v>0</v>
      </c>
      <c r="P34" s="331">
        <f>SUM(H34:O34)</f>
        <v>0</v>
      </c>
      <c r="Q34" s="101"/>
      <c r="R34" s="101"/>
      <c r="S34" s="101"/>
      <c r="T34" s="77"/>
      <c r="V34" s="1231"/>
      <c r="W34" s="1232"/>
      <c r="X34" s="1174"/>
    </row>
    <row r="35" spans="1:24">
      <c r="A35" s="106"/>
      <c r="B35" s="105"/>
      <c r="C35" s="46"/>
      <c r="D35" s="46"/>
      <c r="E35" s="46"/>
      <c r="F35" s="46"/>
      <c r="G35" s="106"/>
      <c r="H35" s="106"/>
      <c r="I35" s="106"/>
      <c r="J35" s="107"/>
      <c r="K35" s="106"/>
      <c r="L35" s="107"/>
      <c r="M35" s="106"/>
      <c r="N35" s="107"/>
      <c r="O35" s="107"/>
      <c r="P35" s="107"/>
      <c r="Q35" s="107"/>
      <c r="R35" s="49"/>
      <c r="S35" s="49"/>
      <c r="T35" s="77"/>
      <c r="V35" s="1231"/>
      <c r="W35" s="1232"/>
      <c r="X35" s="1174"/>
    </row>
    <row r="36" spans="1:24">
      <c r="S36" s="49"/>
      <c r="T36" s="77"/>
      <c r="V36" s="1231"/>
      <c r="W36" s="1232"/>
      <c r="X36" s="1174"/>
    </row>
    <row r="37" spans="1:24">
      <c r="A37" s="7"/>
      <c r="B37" s="8"/>
      <c r="C37" s="8"/>
      <c r="D37" s="8"/>
      <c r="E37" s="8"/>
      <c r="F37" s="8"/>
      <c r="G37" s="8"/>
      <c r="H37" s="8"/>
      <c r="I37" s="8"/>
      <c r="J37" s="8"/>
      <c r="K37" s="8"/>
      <c r="L37" s="8"/>
      <c r="M37" s="8"/>
      <c r="N37" s="108"/>
      <c r="O37" s="108"/>
      <c r="P37" s="109"/>
      <c r="S37" s="49"/>
      <c r="T37" s="77"/>
      <c r="V37" s="1231"/>
      <c r="W37" s="1232"/>
      <c r="X37" s="1174"/>
    </row>
    <row r="38" spans="1:24" ht="10.5">
      <c r="A38" s="13"/>
      <c r="E38" s="110" t="s">
        <v>70</v>
      </c>
      <c r="F38" s="2"/>
      <c r="G38" s="2"/>
      <c r="H38" s="2"/>
      <c r="I38" s="2"/>
      <c r="J38" s="2"/>
      <c r="K38" s="238" t="s">
        <v>69</v>
      </c>
      <c r="M38" s="2"/>
      <c r="N38" s="49"/>
      <c r="O38" s="49"/>
      <c r="P38" s="111"/>
      <c r="S38" s="49"/>
      <c r="T38" s="77"/>
      <c r="V38" s="1231"/>
      <c r="W38" s="1232"/>
      <c r="X38" s="1174"/>
    </row>
    <row r="39" spans="1:24" ht="2.5" customHeight="1">
      <c r="A39" s="13"/>
      <c r="E39" s="110"/>
      <c r="F39" s="2"/>
      <c r="G39" s="2"/>
      <c r="H39" s="46"/>
      <c r="I39" s="2"/>
      <c r="J39" s="2"/>
      <c r="K39" s="2"/>
      <c r="L39" s="2"/>
      <c r="M39" s="2"/>
      <c r="N39" s="49"/>
      <c r="O39" s="49"/>
      <c r="P39" s="111"/>
      <c r="S39" s="49"/>
      <c r="T39" s="77"/>
      <c r="V39" s="1231"/>
      <c r="W39" s="1232"/>
      <c r="X39" s="1174"/>
    </row>
    <row r="40" spans="1:24" ht="11.15" customHeight="1">
      <c r="A40" s="13"/>
      <c r="E40" s="207">
        <f>IF($E$44&gt;2023,$E$44-4,"")</f>
        <v>2021</v>
      </c>
      <c r="H40" s="354"/>
      <c r="I40" s="2" t="s">
        <v>25</v>
      </c>
      <c r="J40" s="2"/>
      <c r="K40" s="2"/>
      <c r="L40" s="49"/>
      <c r="M40" s="2"/>
      <c r="N40" s="49"/>
      <c r="O40" s="49"/>
      <c r="P40" s="111"/>
      <c r="S40" s="49"/>
      <c r="T40" s="77"/>
      <c r="V40" s="1231"/>
      <c r="W40" s="1232"/>
      <c r="X40" s="1174"/>
    </row>
    <row r="41" spans="1:24" ht="11.15" customHeight="1">
      <c r="A41" s="13"/>
      <c r="E41" s="207">
        <f>IF($E$44&gt;2023,$E$44-3,"")</f>
        <v>2022</v>
      </c>
      <c r="H41" s="354"/>
      <c r="I41" s="228" t="s">
        <v>25</v>
      </c>
      <c r="J41" s="2"/>
      <c r="K41" s="2"/>
      <c r="L41" s="49"/>
      <c r="M41" s="2"/>
      <c r="N41" s="49"/>
      <c r="O41" s="49"/>
      <c r="P41" s="111"/>
      <c r="S41" s="49"/>
      <c r="T41" s="77"/>
      <c r="V41" s="1231"/>
      <c r="W41" s="1232"/>
      <c r="X41" s="1174"/>
    </row>
    <row r="42" spans="1:24" ht="11.15" customHeight="1">
      <c r="A42" s="13"/>
      <c r="E42" s="207">
        <f>IF($E$44&gt;2023,$E$44-2,"")</f>
        <v>2023</v>
      </c>
      <c r="H42" s="354"/>
      <c r="I42" s="228" t="s">
        <v>25</v>
      </c>
      <c r="J42" s="2"/>
      <c r="K42" s="2"/>
      <c r="L42" s="49"/>
      <c r="M42" s="2"/>
      <c r="N42" s="49"/>
      <c r="O42" s="49"/>
      <c r="P42" s="111"/>
      <c r="S42" s="49"/>
      <c r="T42" s="77"/>
      <c r="V42" s="1231"/>
      <c r="W42" s="1232"/>
      <c r="X42" s="1174"/>
    </row>
    <row r="43" spans="1:24" ht="11.15" customHeight="1">
      <c r="A43" s="13"/>
      <c r="E43" s="207">
        <f>IF($E$44&gt;2023,$E$44-1,"")</f>
        <v>2024</v>
      </c>
      <c r="H43" s="354"/>
      <c r="I43" s="228" t="s">
        <v>25</v>
      </c>
      <c r="J43" s="2"/>
      <c r="M43" s="207" t="s">
        <v>56</v>
      </c>
      <c r="N43" s="247">
        <f>'HAW-Kennwerte'!E29</f>
        <v>81600</v>
      </c>
      <c r="O43" s="49"/>
      <c r="P43" s="111"/>
      <c r="S43" s="49"/>
      <c r="T43" s="77"/>
      <c r="V43" s="1231"/>
      <c r="W43" s="1232"/>
      <c r="X43" s="1174"/>
    </row>
    <row r="44" spans="1:24" ht="11.15" customHeight="1">
      <c r="A44" s="13"/>
      <c r="D44" s="236" t="s">
        <v>184</v>
      </c>
      <c r="E44" s="711">
        <v>2025</v>
      </c>
      <c r="H44" s="354"/>
      <c r="I44" s="228" t="s">
        <v>25</v>
      </c>
      <c r="J44" s="49"/>
      <c r="M44" s="207" t="s">
        <v>119</v>
      </c>
      <c r="N44" s="475"/>
      <c r="O44" s="49"/>
      <c r="P44" s="111"/>
      <c r="S44" s="49"/>
      <c r="T44" s="77"/>
      <c r="V44" s="1231"/>
      <c r="W44" s="1232"/>
      <c r="X44" s="1174"/>
    </row>
    <row r="45" spans="1:24" ht="2.5" customHeight="1">
      <c r="A45" s="13"/>
      <c r="E45" s="2"/>
      <c r="F45" s="2"/>
      <c r="H45" s="2"/>
      <c r="I45" s="2"/>
      <c r="J45" s="49"/>
      <c r="M45" s="2"/>
      <c r="N45" s="2"/>
      <c r="O45" s="49"/>
      <c r="P45" s="111"/>
      <c r="S45" s="49"/>
      <c r="T45" s="77"/>
      <c r="V45" s="1231"/>
      <c r="W45" s="1232"/>
      <c r="X45" s="1174"/>
    </row>
    <row r="46" spans="1:24">
      <c r="A46" s="13"/>
      <c r="E46" s="2"/>
      <c r="F46" s="2"/>
      <c r="G46" s="116" t="s">
        <v>33</v>
      </c>
      <c r="H46" s="354"/>
      <c r="I46" s="2"/>
      <c r="J46" s="49"/>
      <c r="M46" s="116" t="s">
        <v>33</v>
      </c>
      <c r="N46" s="354"/>
      <c r="O46" s="49"/>
      <c r="P46" s="111"/>
      <c r="S46" s="49"/>
      <c r="T46" s="77"/>
      <c r="V46" s="1231"/>
      <c r="W46" s="1232"/>
      <c r="X46" s="1174"/>
    </row>
    <row r="47" spans="1:24" ht="12" customHeight="1">
      <c r="A47" s="13"/>
      <c r="E47" s="2"/>
      <c r="F47" s="2"/>
      <c r="G47" s="2"/>
      <c r="H47" s="54">
        <f>IF(H46=0,(H44*1.02*5+H43*1.04*4+H42*1.06*3+H41*1.08*2+H40*1.1)/15,H46)</f>
        <v>0</v>
      </c>
      <c r="I47" s="2"/>
      <c r="J47" s="49"/>
      <c r="M47" s="2"/>
      <c r="N47" s="54">
        <f>IF(N46&gt;0,N46,'HAW-Kennwerte'!E31)</f>
        <v>81600</v>
      </c>
      <c r="O47" s="49"/>
      <c r="P47" s="111"/>
      <c r="S47" s="49"/>
      <c r="T47" s="77"/>
      <c r="V47" s="1200"/>
      <c r="W47" s="1201"/>
      <c r="X47" s="1202"/>
    </row>
    <row r="48" spans="1:24">
      <c r="A48" s="45"/>
      <c r="B48" s="46"/>
      <c r="C48" s="46"/>
      <c r="D48" s="46"/>
      <c r="E48" s="46"/>
      <c r="F48" s="46"/>
      <c r="G48" s="46"/>
      <c r="H48" s="46"/>
      <c r="I48" s="46"/>
      <c r="J48" s="119"/>
      <c r="K48" s="46"/>
      <c r="L48" s="119"/>
      <c r="M48" s="46"/>
      <c r="N48" s="119"/>
      <c r="O48" s="119"/>
      <c r="P48" s="120"/>
      <c r="S48" s="49"/>
      <c r="T48" s="77"/>
      <c r="V48" s="1231"/>
      <c r="W48" s="1232"/>
      <c r="X48" s="1174"/>
    </row>
    <row r="49" spans="1:24" ht="11.25" customHeight="1">
      <c r="B49" s="117" t="s">
        <v>34</v>
      </c>
      <c r="S49" s="49"/>
      <c r="T49" s="2"/>
      <c r="V49" s="1231"/>
      <c r="W49" s="1232"/>
      <c r="X49" s="1174"/>
    </row>
    <row r="50" spans="1:24">
      <c r="A50" s="2"/>
      <c r="B50" s="106"/>
      <c r="C50" s="209"/>
      <c r="D50" s="106"/>
      <c r="E50" s="106"/>
      <c r="F50" s="106"/>
      <c r="G50" s="106"/>
      <c r="H50" s="106"/>
      <c r="I50" s="106"/>
      <c r="J50" s="106"/>
      <c r="K50" s="107"/>
      <c r="L50" s="106"/>
      <c r="M50" s="107"/>
      <c r="N50" s="106"/>
      <c r="O50" s="107"/>
      <c r="P50" s="107"/>
      <c r="Q50" s="107"/>
      <c r="R50" s="49"/>
      <c r="S50" s="49"/>
      <c r="T50" s="49"/>
      <c r="V50" s="1231"/>
      <c r="W50" s="1232"/>
      <c r="X50" s="1174"/>
    </row>
    <row r="51" spans="1:24">
      <c r="A51" s="2"/>
      <c r="J51" s="1"/>
      <c r="K51" s="42"/>
      <c r="L51" s="1"/>
      <c r="M51" s="42"/>
      <c r="N51" s="1"/>
      <c r="Q51" s="201" t="str">
        <f>HAW!B28</f>
        <v>Kennwertverfahren NRW für HAW; HIS-Institut für Hochschulentwicklung e.V. (24.04.2026)</v>
      </c>
      <c r="R51" s="250"/>
      <c r="S51" s="2"/>
      <c r="T51" s="2"/>
      <c r="V51" s="1231"/>
      <c r="W51" s="1232"/>
      <c r="X51" s="1174"/>
    </row>
    <row r="52" spans="1:24">
      <c r="A52" s="2"/>
      <c r="T52" s="121"/>
      <c r="V52" s="1231"/>
      <c r="W52" s="1232"/>
      <c r="X52" s="1174"/>
    </row>
    <row r="53" spans="1:24">
      <c r="A53" s="2"/>
      <c r="T53" s="121"/>
      <c r="V53" s="1231"/>
      <c r="W53" s="1232"/>
      <c r="X53" s="1174"/>
    </row>
    <row r="54" spans="1:24" ht="10.5">
      <c r="A54" s="2"/>
      <c r="B54" s="368" t="str">
        <f>IF(B8=0,B7,CONCATENATE(B7,B8))</f>
        <v>Hochschule …</v>
      </c>
      <c r="C54" s="369"/>
      <c r="D54" s="369"/>
      <c r="E54" s="369"/>
      <c r="F54" s="369"/>
      <c r="G54" s="369"/>
      <c r="H54" s="369"/>
      <c r="I54" s="369"/>
      <c r="J54" s="370"/>
      <c r="K54" s="369"/>
      <c r="L54" s="370"/>
      <c r="M54" s="369"/>
      <c r="N54" s="370"/>
      <c r="O54" s="370"/>
      <c r="P54" s="370"/>
      <c r="Q54" s="370"/>
      <c r="R54" s="370"/>
      <c r="S54" s="370"/>
      <c r="T54" s="121"/>
      <c r="V54" s="1231"/>
      <c r="W54" s="1232"/>
      <c r="X54" s="1174"/>
    </row>
    <row r="55" spans="1:24">
      <c r="A55" s="2"/>
      <c r="B55" s="369" t="str">
        <f>B9</f>
        <v>[Fakultät/Fachbereich]</v>
      </c>
      <c r="C55" s="369"/>
      <c r="D55" s="369"/>
      <c r="E55" s="369"/>
      <c r="F55" s="369"/>
      <c r="G55" s="369"/>
      <c r="H55" s="369"/>
      <c r="I55" s="369"/>
      <c r="J55" s="370"/>
      <c r="K55" s="369"/>
      <c r="L55" s="370"/>
      <c r="M55" s="369"/>
      <c r="N55" s="370"/>
      <c r="O55" s="370"/>
      <c r="P55" s="370"/>
      <c r="Q55" s="370"/>
      <c r="R55" s="370"/>
      <c r="S55" s="370"/>
      <c r="T55" s="121"/>
      <c r="V55" s="1231"/>
      <c r="W55" s="1232"/>
      <c r="X55" s="1174"/>
    </row>
    <row r="56" spans="1:24">
      <c r="A56" s="2"/>
      <c r="B56" s="369" t="str">
        <f>B10</f>
        <v>[Department, Institut o.a.]</v>
      </c>
      <c r="C56" s="369"/>
      <c r="D56" s="369"/>
      <c r="E56" s="369"/>
      <c r="F56" s="369"/>
      <c r="G56" s="369"/>
      <c r="H56" s="369"/>
      <c r="I56" s="369"/>
      <c r="J56" s="370"/>
      <c r="K56" s="369"/>
      <c r="L56" s="370"/>
      <c r="M56" s="369"/>
      <c r="N56" s="370"/>
      <c r="O56" s="370"/>
      <c r="P56" s="370"/>
      <c r="Q56" s="370"/>
      <c r="R56" s="370"/>
      <c r="S56" s="370"/>
      <c r="T56" s="121"/>
      <c r="V56" s="1231"/>
      <c r="W56" s="1232"/>
      <c r="X56" s="1174"/>
    </row>
    <row r="57" spans="1:24">
      <c r="A57" s="2"/>
      <c r="B57" s="369" t="str">
        <f>CONCATENATE(B12,": ",B13)</f>
        <v>Lehr- und Forschungsbereich: Angewandte Naturwissenschaften</v>
      </c>
      <c r="C57" s="369"/>
      <c r="D57" s="369"/>
      <c r="E57" s="369"/>
      <c r="F57" s="369"/>
      <c r="G57" s="369"/>
      <c r="H57" s="369"/>
      <c r="I57" s="369"/>
      <c r="J57" s="370"/>
      <c r="K57" s="369"/>
      <c r="L57" s="370"/>
      <c r="M57" s="369"/>
      <c r="N57" s="370"/>
      <c r="O57" s="370"/>
      <c r="P57" s="370"/>
      <c r="Q57" s="370"/>
      <c r="R57" s="370"/>
      <c r="S57" s="370"/>
      <c r="T57" s="121"/>
      <c r="V57" s="1231"/>
      <c r="W57" s="1232"/>
      <c r="X57" s="1174"/>
    </row>
    <row r="58" spans="1:24">
      <c r="A58" s="2"/>
      <c r="T58" s="121"/>
      <c r="V58" s="1231"/>
      <c r="W58" s="1232"/>
      <c r="X58" s="1174"/>
    </row>
    <row r="59" spans="1:24">
      <c r="A59" s="2"/>
      <c r="B59" s="378" t="s">
        <v>95</v>
      </c>
      <c r="T59" s="121"/>
      <c r="V59" s="1231"/>
      <c r="W59" s="1232"/>
      <c r="X59" s="1174"/>
    </row>
    <row r="60" spans="1:24" s="202" customFormat="1" ht="2.25" customHeight="1">
      <c r="A60" s="110"/>
      <c r="B60" s="909"/>
      <c r="C60" s="910"/>
      <c r="D60" s="910"/>
      <c r="E60" s="910"/>
      <c r="F60" s="910"/>
      <c r="G60" s="910"/>
      <c r="H60" s="910"/>
      <c r="I60" s="910"/>
      <c r="J60" s="544"/>
      <c r="K60" s="910"/>
      <c r="L60" s="544"/>
      <c r="M60" s="910"/>
      <c r="N60" s="544"/>
      <c r="O60" s="544"/>
      <c r="P60" s="544"/>
      <c r="Q60" s="544"/>
      <c r="R60" s="544"/>
      <c r="S60" s="544"/>
      <c r="T60" s="320"/>
      <c r="V60" s="1231"/>
      <c r="W60" s="1232"/>
      <c r="X60" s="1174"/>
    </row>
    <row r="61" spans="1:24" s="202" customFormat="1" ht="10" customHeight="1">
      <c r="A61" s="206"/>
      <c r="B61" s="210"/>
      <c r="C61" s="206"/>
      <c r="D61" s="206"/>
      <c r="E61" s="206"/>
      <c r="F61" s="206"/>
      <c r="G61" s="206"/>
      <c r="H61" s="238"/>
      <c r="I61" s="238"/>
      <c r="J61" s="239"/>
      <c r="K61" s="238"/>
      <c r="L61" s="239"/>
      <c r="M61" s="238"/>
      <c r="N61" s="239"/>
      <c r="O61" s="239"/>
      <c r="P61" s="239"/>
      <c r="Q61" s="208"/>
      <c r="R61" s="208"/>
      <c r="S61" s="1166" t="s">
        <v>60</v>
      </c>
      <c r="T61" s="321"/>
      <c r="V61" s="1231"/>
      <c r="W61" s="1232"/>
      <c r="X61" s="1174"/>
    </row>
    <row r="62" spans="1:24" s="202" customFormat="1" ht="10" customHeight="1">
      <c r="A62" s="206"/>
      <c r="B62" s="210"/>
      <c r="C62" s="206"/>
      <c r="E62" s="206"/>
      <c r="F62" s="206"/>
      <c r="G62" s="206"/>
      <c r="H62" s="240" t="s">
        <v>60</v>
      </c>
      <c r="I62" s="241"/>
      <c r="J62" s="241"/>
      <c r="K62" s="240"/>
      <c r="L62" s="240"/>
      <c r="M62" s="243" t="s">
        <v>61</v>
      </c>
      <c r="N62" s="241"/>
      <c r="O62" s="240"/>
      <c r="P62" s="240"/>
      <c r="Q62" s="240"/>
      <c r="R62" s="240"/>
      <c r="S62" s="1189" t="s">
        <v>857</v>
      </c>
      <c r="T62" s="321"/>
      <c r="V62" s="1231"/>
      <c r="W62" s="1232"/>
      <c r="X62" s="1174"/>
    </row>
    <row r="63" spans="1:24" ht="10.4" customHeight="1">
      <c r="A63" s="2"/>
      <c r="B63" s="235"/>
      <c r="C63" s="204"/>
      <c r="F63" s="2"/>
      <c r="G63" s="2"/>
      <c r="H63" s="49"/>
      <c r="I63" s="2"/>
      <c r="J63" s="2"/>
      <c r="K63" s="49"/>
      <c r="L63" s="1"/>
      <c r="M63" s="244"/>
      <c r="N63" s="2"/>
      <c r="O63" s="49"/>
      <c r="P63" s="1"/>
      <c r="Q63" s="49"/>
      <c r="R63" s="49"/>
      <c r="S63" s="234"/>
      <c r="T63" s="321"/>
      <c r="V63" s="1231"/>
      <c r="W63" s="1232"/>
      <c r="X63" s="1174"/>
    </row>
    <row r="64" spans="1:24" ht="10.5">
      <c r="A64" s="2"/>
      <c r="B64" s="235"/>
      <c r="C64" s="204"/>
      <c r="E64" s="237" t="s">
        <v>66</v>
      </c>
      <c r="F64" s="2"/>
      <c r="G64" s="2"/>
      <c r="H64" s="202" t="s">
        <v>67</v>
      </c>
      <c r="I64" s="2"/>
      <c r="J64" s="2"/>
      <c r="K64" s="49"/>
      <c r="L64" s="1"/>
      <c r="M64" s="245" t="s">
        <v>67</v>
      </c>
      <c r="N64" s="2"/>
      <c r="O64" s="49"/>
      <c r="P64" s="1"/>
      <c r="T64" s="321"/>
      <c r="V64" s="1231"/>
      <c r="W64" s="1232"/>
      <c r="X64" s="1174"/>
    </row>
    <row r="65" spans="1:24" ht="12" customHeight="1">
      <c r="A65" s="2"/>
      <c r="B65" s="210"/>
      <c r="C65" s="206"/>
      <c r="D65" s="236" t="s">
        <v>65</v>
      </c>
      <c r="E65" s="355"/>
      <c r="F65" s="2"/>
      <c r="G65" s="2"/>
      <c r="H65" s="325">
        <f>SUM(H70:H81)</f>
        <v>0</v>
      </c>
      <c r="I65" s="326"/>
      <c r="J65" s="2"/>
      <c r="K65" s="49"/>
      <c r="L65" s="1"/>
      <c r="M65" s="325">
        <f>SUM(M70:M81)</f>
        <v>0</v>
      </c>
      <c r="N65" s="326"/>
      <c r="O65" s="49"/>
      <c r="P65" s="1"/>
      <c r="S65" s="323">
        <f>H65+M65</f>
        <v>0</v>
      </c>
      <c r="T65" s="321"/>
      <c r="V65" s="1231"/>
      <c r="W65" s="1232"/>
      <c r="X65" s="1174"/>
    </row>
    <row r="66" spans="1:24" ht="12" customHeight="1">
      <c r="A66" s="2"/>
      <c r="B66" s="210"/>
      <c r="C66" s="206"/>
      <c r="D66" s="236" t="s">
        <v>74</v>
      </c>
      <c r="E66" s="356"/>
      <c r="F66" s="2"/>
      <c r="G66" s="2"/>
      <c r="H66" s="338">
        <f>H65*SUM(E65,E66)</f>
        <v>0</v>
      </c>
      <c r="I66" s="327" t="str">
        <f>IF(H66&gt;0,"SWS","")</f>
        <v/>
      </c>
      <c r="J66" s="2"/>
      <c r="K66" s="49"/>
      <c r="L66" s="1"/>
      <c r="M66" s="338">
        <f>M65*SUM(E65,E66)</f>
        <v>0</v>
      </c>
      <c r="N66" s="327" t="str">
        <f>IF(M66&gt;0,"SWS","")</f>
        <v/>
      </c>
      <c r="O66" s="49"/>
      <c r="P66" s="1"/>
      <c r="S66" s="55">
        <f>SUM(H66,M66)</f>
        <v>0</v>
      </c>
      <c r="T66" s="321"/>
      <c r="V66" s="1231"/>
      <c r="W66" s="1232"/>
      <c r="X66" s="1174"/>
    </row>
    <row r="67" spans="1:24" ht="10.5">
      <c r="A67" s="2"/>
      <c r="B67" s="13"/>
      <c r="C67" s="2"/>
      <c r="D67" s="2"/>
      <c r="E67" s="324">
        <f>SUM(E65:E66)</f>
        <v>0</v>
      </c>
      <c r="F67" s="2"/>
      <c r="G67" s="2"/>
      <c r="H67" s="2"/>
      <c r="I67" s="2"/>
      <c r="J67" s="2"/>
      <c r="K67" s="49"/>
      <c r="L67" s="1"/>
      <c r="M67" s="244"/>
      <c r="N67" s="2"/>
      <c r="O67" s="49"/>
      <c r="P67" s="49"/>
      <c r="Q67" s="49"/>
      <c r="R67" s="49"/>
      <c r="S67" s="49"/>
      <c r="T67" s="321"/>
      <c r="V67" s="1231"/>
      <c r="W67" s="1232"/>
      <c r="X67" s="1174"/>
    </row>
    <row r="68" spans="1:24">
      <c r="A68" s="2"/>
      <c r="B68" s="13"/>
      <c r="C68" s="2"/>
      <c r="D68" s="2"/>
      <c r="F68" s="2"/>
      <c r="G68" s="2"/>
      <c r="H68" s="2"/>
      <c r="I68" s="2"/>
      <c r="J68" s="2"/>
      <c r="K68" s="113" t="s">
        <v>97</v>
      </c>
      <c r="L68" s="1"/>
      <c r="M68" s="244"/>
      <c r="N68" s="2"/>
      <c r="O68" s="49"/>
      <c r="P68" s="113" t="s">
        <v>97</v>
      </c>
      <c r="Q68" s="49"/>
      <c r="R68" s="49"/>
      <c r="S68" s="49"/>
      <c r="T68" s="321"/>
      <c r="V68" s="1231"/>
      <c r="W68" s="1232"/>
      <c r="X68" s="1174"/>
    </row>
    <row r="69" spans="1:24" ht="13.4" customHeight="1">
      <c r="A69" s="2"/>
      <c r="B69" s="13"/>
      <c r="C69" s="2"/>
      <c r="D69" s="2"/>
      <c r="E69" s="114"/>
      <c r="F69" s="2"/>
      <c r="G69" s="2"/>
      <c r="H69" s="113" t="s">
        <v>83</v>
      </c>
      <c r="I69" s="113" t="s">
        <v>31</v>
      </c>
      <c r="J69" s="113" t="s">
        <v>32</v>
      </c>
      <c r="K69" s="113" t="s">
        <v>96</v>
      </c>
      <c r="L69" s="113" t="s">
        <v>94</v>
      </c>
      <c r="M69" s="319" t="s">
        <v>83</v>
      </c>
      <c r="N69" s="113" t="s">
        <v>31</v>
      </c>
      <c r="O69" s="113" t="s">
        <v>32</v>
      </c>
      <c r="P69" s="113" t="s">
        <v>96</v>
      </c>
      <c r="Q69" s="113" t="s">
        <v>94</v>
      </c>
      <c r="R69" s="113"/>
      <c r="S69" s="49"/>
      <c r="T69" s="321"/>
      <c r="V69" s="1231"/>
      <c r="W69" s="1232"/>
      <c r="X69" s="1174"/>
    </row>
    <row r="70" spans="1:24" ht="11.15" customHeight="1">
      <c r="A70" s="2"/>
      <c r="B70" s="13"/>
      <c r="C70" s="2"/>
      <c r="D70" s="725"/>
      <c r="E70" s="725"/>
      <c r="F70" s="731" t="s">
        <v>201</v>
      </c>
      <c r="G70" s="2"/>
      <c r="H70" s="371"/>
      <c r="I70" s="372"/>
      <c r="J70" s="373"/>
      <c r="K70" s="374"/>
      <c r="L70" s="337">
        <f>IFERROR($E$67*H70*I70/J70*K70,0)</f>
        <v>0</v>
      </c>
      <c r="M70" s="376"/>
      <c r="N70" s="372"/>
      <c r="O70" s="373"/>
      <c r="P70" s="374"/>
      <c r="Q70" s="115">
        <f>IFERROR($E$67*M70*N70/O70*P70,0)</f>
        <v>0</v>
      </c>
      <c r="R70" s="342"/>
      <c r="S70" s="49"/>
      <c r="T70" s="321"/>
      <c r="V70" s="1200"/>
      <c r="W70" s="1201"/>
      <c r="X70" s="1202"/>
    </row>
    <row r="71" spans="1:24" ht="11.15" customHeight="1">
      <c r="B71" s="13"/>
      <c r="C71" s="2"/>
      <c r="D71" s="726"/>
      <c r="E71" s="726"/>
      <c r="F71" s="732" t="s">
        <v>202</v>
      </c>
      <c r="G71" s="2"/>
      <c r="H71" s="375"/>
      <c r="I71" s="372"/>
      <c r="J71" s="373"/>
      <c r="K71" s="374"/>
      <c r="L71" s="337">
        <f>IFERROR($E$67*H71*I71/J71*K71,0)</f>
        <v>0</v>
      </c>
      <c r="M71" s="377"/>
      <c r="N71" s="372"/>
      <c r="O71" s="373"/>
      <c r="P71" s="374"/>
      <c r="Q71" s="115">
        <f t="shared" ref="Q71:Q81" si="0">IFERROR($E$67*M71*N71/O71*P71,0)</f>
        <v>0</v>
      </c>
      <c r="R71" s="342"/>
      <c r="S71" s="49"/>
      <c r="T71" s="321"/>
      <c r="V71" s="1200"/>
      <c r="W71" s="1201"/>
      <c r="X71" s="1202"/>
    </row>
    <row r="72" spans="1:24" ht="11.5" customHeight="1">
      <c r="B72" s="13"/>
      <c r="C72" s="2"/>
      <c r="D72" s="726"/>
      <c r="E72" s="726"/>
      <c r="F72" s="732" t="s">
        <v>203</v>
      </c>
      <c r="G72" s="2"/>
      <c r="H72" s="375"/>
      <c r="I72" s="372"/>
      <c r="J72" s="373"/>
      <c r="K72" s="374"/>
      <c r="L72" s="337">
        <f>IFERROR($E$67*H72*I72/J72*K72,0)</f>
        <v>0</v>
      </c>
      <c r="M72" s="377"/>
      <c r="N72" s="372"/>
      <c r="O72" s="373"/>
      <c r="P72" s="374"/>
      <c r="Q72" s="115">
        <f t="shared" si="0"/>
        <v>0</v>
      </c>
      <c r="R72" s="342"/>
      <c r="S72" s="49"/>
      <c r="T72" s="321"/>
      <c r="V72" s="1200"/>
      <c r="W72" s="1201"/>
      <c r="X72" s="1202"/>
    </row>
    <row r="73" spans="1:24">
      <c r="B73" s="13"/>
      <c r="C73" s="2"/>
      <c r="D73" s="726"/>
      <c r="E73" s="726"/>
      <c r="F73" s="732"/>
      <c r="G73" s="2"/>
      <c r="H73" s="375"/>
      <c r="I73" s="372"/>
      <c r="J73" s="373"/>
      <c r="K73" s="374"/>
      <c r="L73" s="337">
        <f t="shared" ref="L73:L81" si="1">IFERROR($E$67*H73*I73/J73*K73,0)</f>
        <v>0</v>
      </c>
      <c r="M73" s="377"/>
      <c r="N73" s="372"/>
      <c r="O73" s="373"/>
      <c r="P73" s="374"/>
      <c r="Q73" s="115">
        <f t="shared" si="0"/>
        <v>0</v>
      </c>
      <c r="R73" s="342"/>
      <c r="S73" s="49"/>
      <c r="T73" s="321"/>
      <c r="V73" s="1200"/>
      <c r="W73" s="1201"/>
      <c r="X73" s="1202"/>
    </row>
    <row r="74" spans="1:24">
      <c r="B74" s="13"/>
      <c r="C74" s="2"/>
      <c r="D74" s="727"/>
      <c r="E74" s="728"/>
      <c r="F74" s="732"/>
      <c r="G74" s="2"/>
      <c r="H74" s="375"/>
      <c r="I74" s="372"/>
      <c r="J74" s="373"/>
      <c r="K74" s="374"/>
      <c r="L74" s="337">
        <f t="shared" si="1"/>
        <v>0</v>
      </c>
      <c r="M74" s="377"/>
      <c r="N74" s="372"/>
      <c r="O74" s="373"/>
      <c r="P74" s="374"/>
      <c r="Q74" s="115">
        <f t="shared" si="0"/>
        <v>0</v>
      </c>
      <c r="R74" s="342"/>
      <c r="S74" s="49"/>
      <c r="T74" s="321"/>
      <c r="V74" s="1200"/>
      <c r="W74" s="1201"/>
      <c r="X74" s="1202"/>
    </row>
    <row r="75" spans="1:24">
      <c r="B75" s="13"/>
      <c r="C75" s="2"/>
      <c r="D75" s="727"/>
      <c r="E75" s="728"/>
      <c r="F75" s="732"/>
      <c r="G75" s="2"/>
      <c r="H75" s="375"/>
      <c r="I75" s="372"/>
      <c r="J75" s="373"/>
      <c r="K75" s="374"/>
      <c r="L75" s="337">
        <f t="shared" si="1"/>
        <v>0</v>
      </c>
      <c r="M75" s="377"/>
      <c r="N75" s="372"/>
      <c r="O75" s="373"/>
      <c r="P75" s="374"/>
      <c r="Q75" s="115">
        <f t="shared" si="0"/>
        <v>0</v>
      </c>
      <c r="R75" s="342"/>
      <c r="S75" s="49"/>
      <c r="T75" s="321"/>
      <c r="V75" s="1200"/>
      <c r="W75" s="1201"/>
      <c r="X75" s="1202"/>
    </row>
    <row r="76" spans="1:24">
      <c r="B76" s="13"/>
      <c r="C76" s="2"/>
      <c r="D76" s="727"/>
      <c r="E76" s="728"/>
      <c r="F76" s="732"/>
      <c r="G76" s="2"/>
      <c r="H76" s="375"/>
      <c r="I76" s="372"/>
      <c r="J76" s="373"/>
      <c r="K76" s="374"/>
      <c r="L76" s="337">
        <f t="shared" si="1"/>
        <v>0</v>
      </c>
      <c r="M76" s="377"/>
      <c r="N76" s="372"/>
      <c r="O76" s="373"/>
      <c r="P76" s="374"/>
      <c r="Q76" s="115">
        <f t="shared" si="0"/>
        <v>0</v>
      </c>
      <c r="R76" s="342"/>
      <c r="S76" s="49"/>
      <c r="T76" s="321"/>
      <c r="V76" s="1200"/>
      <c r="W76" s="1201"/>
      <c r="X76" s="1202"/>
    </row>
    <row r="77" spans="1:24">
      <c r="B77" s="13"/>
      <c r="C77" s="2"/>
      <c r="D77" s="727"/>
      <c r="E77" s="728"/>
      <c r="F77" s="732"/>
      <c r="G77" s="2"/>
      <c r="H77" s="375"/>
      <c r="I77" s="372"/>
      <c r="J77" s="373"/>
      <c r="K77" s="374"/>
      <c r="L77" s="337">
        <f t="shared" si="1"/>
        <v>0</v>
      </c>
      <c r="M77" s="377"/>
      <c r="N77" s="372"/>
      <c r="O77" s="373"/>
      <c r="P77" s="374"/>
      <c r="Q77" s="115">
        <f t="shared" si="0"/>
        <v>0</v>
      </c>
      <c r="R77" s="342"/>
      <c r="S77" s="49"/>
      <c r="T77" s="321"/>
      <c r="V77" s="1200"/>
      <c r="W77" s="1201"/>
      <c r="X77" s="1202"/>
    </row>
    <row r="78" spans="1:24">
      <c r="B78" s="13"/>
      <c r="C78" s="2"/>
      <c r="D78" s="727"/>
      <c r="E78" s="728"/>
      <c r="F78" s="732"/>
      <c r="G78" s="2"/>
      <c r="H78" s="375"/>
      <c r="I78" s="372"/>
      <c r="J78" s="373"/>
      <c r="K78" s="374"/>
      <c r="L78" s="337">
        <f t="shared" si="1"/>
        <v>0</v>
      </c>
      <c r="M78" s="377"/>
      <c r="N78" s="372"/>
      <c r="O78" s="373"/>
      <c r="P78" s="374"/>
      <c r="Q78" s="115">
        <f t="shared" si="0"/>
        <v>0</v>
      </c>
      <c r="R78" s="342"/>
      <c r="S78" s="49"/>
      <c r="T78" s="321"/>
      <c r="V78" s="1200"/>
      <c r="W78" s="1201"/>
      <c r="X78" s="1202"/>
    </row>
    <row r="79" spans="1:24">
      <c r="B79" s="13"/>
      <c r="C79" s="2"/>
      <c r="D79" s="727"/>
      <c r="E79" s="728"/>
      <c r="F79" s="732"/>
      <c r="G79" s="2"/>
      <c r="H79" s="375"/>
      <c r="I79" s="372"/>
      <c r="J79" s="373"/>
      <c r="K79" s="374"/>
      <c r="L79" s="337">
        <f t="shared" si="1"/>
        <v>0</v>
      </c>
      <c r="M79" s="377"/>
      <c r="N79" s="372"/>
      <c r="O79" s="373"/>
      <c r="P79" s="374"/>
      <c r="Q79" s="115">
        <f t="shared" si="0"/>
        <v>0</v>
      </c>
      <c r="R79" s="342"/>
      <c r="S79" s="49"/>
      <c r="T79" s="321"/>
      <c r="V79" s="1200"/>
      <c r="W79" s="1201"/>
      <c r="X79" s="1202"/>
    </row>
    <row r="80" spans="1:24">
      <c r="B80" s="13"/>
      <c r="C80" s="2"/>
      <c r="D80" s="727"/>
      <c r="E80" s="728"/>
      <c r="F80" s="732"/>
      <c r="G80" s="2"/>
      <c r="H80" s="375"/>
      <c r="I80" s="372"/>
      <c r="J80" s="373"/>
      <c r="K80" s="374"/>
      <c r="L80" s="337">
        <f t="shared" si="1"/>
        <v>0</v>
      </c>
      <c r="M80" s="377"/>
      <c r="N80" s="372"/>
      <c r="O80" s="373"/>
      <c r="P80" s="374"/>
      <c r="Q80" s="115">
        <f t="shared" si="0"/>
        <v>0</v>
      </c>
      <c r="R80" s="342"/>
      <c r="S80" s="49"/>
      <c r="T80" s="321"/>
      <c r="V80" s="1200"/>
      <c r="W80" s="1201"/>
      <c r="X80" s="1202"/>
    </row>
    <row r="81" spans="1:24">
      <c r="B81" s="13"/>
      <c r="C81" s="2"/>
      <c r="D81" s="729"/>
      <c r="E81" s="730"/>
      <c r="F81" s="733"/>
      <c r="G81" s="2"/>
      <c r="H81" s="375"/>
      <c r="I81" s="372"/>
      <c r="J81" s="373"/>
      <c r="K81" s="374"/>
      <c r="L81" s="337">
        <f t="shared" si="1"/>
        <v>0</v>
      </c>
      <c r="M81" s="377"/>
      <c r="N81" s="372"/>
      <c r="O81" s="373"/>
      <c r="P81" s="374"/>
      <c r="Q81" s="115">
        <f t="shared" si="0"/>
        <v>0</v>
      </c>
      <c r="R81" s="342"/>
      <c r="S81" s="49"/>
      <c r="T81" s="321"/>
      <c r="V81" s="1200"/>
      <c r="W81" s="1201"/>
      <c r="X81" s="1202"/>
    </row>
    <row r="82" spans="1:24">
      <c r="B82" s="13"/>
      <c r="C82" s="2"/>
      <c r="D82" s="2"/>
      <c r="E82" s="2"/>
      <c r="F82" s="2"/>
      <c r="G82" s="2"/>
      <c r="H82" s="49"/>
      <c r="I82" s="2"/>
      <c r="J82" s="49"/>
      <c r="L82" s="49"/>
      <c r="M82" s="335"/>
      <c r="N82" s="49"/>
      <c r="O82" s="49"/>
      <c r="P82" s="49"/>
      <c r="Q82" s="49"/>
      <c r="R82" s="49"/>
      <c r="S82" s="208" t="s">
        <v>99</v>
      </c>
      <c r="T82" s="321"/>
      <c r="V82" s="1231"/>
      <c r="W82" s="1232"/>
      <c r="X82" s="1174"/>
    </row>
    <row r="83" spans="1:24" ht="12" customHeight="1">
      <c r="B83" s="13"/>
      <c r="C83" s="2"/>
      <c r="D83" s="236" t="s">
        <v>182</v>
      </c>
      <c r="E83" s="2"/>
      <c r="F83" s="2"/>
      <c r="G83" s="2"/>
      <c r="H83" s="49"/>
      <c r="I83" s="2"/>
      <c r="K83" s="116" t="s">
        <v>196</v>
      </c>
      <c r="L83" s="357"/>
      <c r="M83" s="336"/>
      <c r="N83" s="1"/>
      <c r="O83" s="1"/>
      <c r="P83" s="116" t="s">
        <v>196</v>
      </c>
      <c r="Q83" s="358"/>
      <c r="R83" s="343"/>
      <c r="S83" s="208" t="s">
        <v>98</v>
      </c>
      <c r="T83" s="321"/>
      <c r="V83" s="1231"/>
      <c r="W83" s="1232"/>
      <c r="X83" s="1174"/>
    </row>
    <row r="84" spans="1:24" ht="12" customHeight="1">
      <c r="B84" s="13"/>
      <c r="C84" s="2"/>
      <c r="D84" s="236" t="s">
        <v>183</v>
      </c>
      <c r="E84" s="350"/>
      <c r="F84" s="2"/>
      <c r="G84" s="2"/>
      <c r="H84" s="49"/>
      <c r="I84" s="2"/>
      <c r="J84" s="49"/>
      <c r="K84" s="435" t="s">
        <v>26</v>
      </c>
      <c r="L84" s="334">
        <f>IF(L83=0,SUM(L70:L81),L83)</f>
        <v>0</v>
      </c>
      <c r="M84" s="336"/>
      <c r="N84" s="1"/>
      <c r="O84" s="1"/>
      <c r="P84" s="435" t="s">
        <v>26</v>
      </c>
      <c r="Q84" s="118">
        <f>IF(Q83=0,SUM(Q70:Q81),Q83)</f>
        <v>0</v>
      </c>
      <c r="R84" s="344"/>
      <c r="S84" s="118">
        <f>L84+Q84*'HAW-Kennwerte'!$R$30</f>
        <v>0</v>
      </c>
      <c r="T84" s="321"/>
      <c r="V84" s="1200"/>
      <c r="W84" s="1201"/>
      <c r="X84" s="1202"/>
    </row>
    <row r="85" spans="1:24" ht="10.5">
      <c r="B85" s="13"/>
      <c r="C85" s="2"/>
      <c r="D85" s="2"/>
      <c r="E85" s="2"/>
      <c r="F85" s="2"/>
      <c r="G85" s="2"/>
      <c r="H85" s="49"/>
      <c r="I85" s="2"/>
      <c r="J85" s="49"/>
      <c r="K85" s="242"/>
      <c r="L85" s="2"/>
      <c r="M85" s="336"/>
      <c r="N85" s="1"/>
      <c r="O85" s="1"/>
      <c r="P85" s="49"/>
      <c r="Q85" s="242"/>
      <c r="R85" s="242"/>
      <c r="S85" s="242"/>
      <c r="T85" s="321"/>
      <c r="V85" s="1231"/>
      <c r="W85" s="1232"/>
      <c r="X85" s="1174"/>
    </row>
    <row r="86" spans="1:24" ht="12" customHeight="1">
      <c r="B86" s="13"/>
      <c r="C86" s="2"/>
      <c r="D86" s="716" t="s">
        <v>194</v>
      </c>
      <c r="E86" s="479" t="s">
        <v>195</v>
      </c>
      <c r="F86" s="2"/>
      <c r="G86" s="2"/>
      <c r="I86" s="2"/>
      <c r="J86" s="208"/>
      <c r="K86" s="242"/>
      <c r="L86" s="204"/>
      <c r="M86" s="204"/>
      <c r="N86" s="203"/>
      <c r="O86" s="203"/>
      <c r="P86" s="791"/>
      <c r="Q86" s="202"/>
      <c r="R86" s="607"/>
      <c r="S86" s="607"/>
      <c r="T86" s="321"/>
      <c r="V86" s="1231"/>
      <c r="W86" s="1232"/>
      <c r="X86" s="1174"/>
    </row>
    <row r="87" spans="1:24" ht="12" customHeight="1">
      <c r="B87" s="13"/>
      <c r="C87" s="2"/>
      <c r="D87" s="2"/>
      <c r="E87" s="2"/>
      <c r="F87" s="2"/>
      <c r="G87" s="2"/>
      <c r="H87" s="49"/>
      <c r="I87" s="2"/>
      <c r="J87" s="202"/>
      <c r="K87" s="206">
        <f>IF($Q$87&gt;2023,$Q$87-6,"")</f>
        <v>2019</v>
      </c>
      <c r="L87" s="206">
        <f>IF($Q$87&gt;2023,$Q$87-5,"")</f>
        <v>2020</v>
      </c>
      <c r="M87" s="206">
        <f>IF($Q$87&gt;2023,$Q$87-4,"")</f>
        <v>2021</v>
      </c>
      <c r="N87" s="206">
        <f>IF($Q$87&gt;2023,$Q$87-3,"")</f>
        <v>2022</v>
      </c>
      <c r="O87" s="206">
        <f>IF($Q$87&gt;2023,$Q$87-2,"")</f>
        <v>2023</v>
      </c>
      <c r="P87" s="206">
        <f>IF($Q$87&gt;2023,$Q$87-1,"")</f>
        <v>2024</v>
      </c>
      <c r="Q87" s="711">
        <v>2025</v>
      </c>
      <c r="R87" s="50"/>
      <c r="S87" s="202"/>
      <c r="T87" s="321"/>
      <c r="V87" s="1231"/>
      <c r="W87" s="1232"/>
      <c r="X87" s="1174"/>
    </row>
    <row r="88" spans="1:24" ht="12" customHeight="1">
      <c r="B88" s="13"/>
      <c r="C88" s="2"/>
      <c r="D88" s="2"/>
      <c r="E88" s="2"/>
      <c r="F88" s="2"/>
      <c r="G88" s="2"/>
      <c r="H88" s="49"/>
      <c r="I88" s="2"/>
      <c r="J88" s="435" t="s">
        <v>245</v>
      </c>
      <c r="K88" s="792"/>
      <c r="L88" s="792"/>
      <c r="M88" s="792"/>
      <c r="N88" s="792"/>
      <c r="O88" s="792"/>
      <c r="P88" s="792"/>
      <c r="Q88" s="792"/>
      <c r="R88" s="50"/>
      <c r="S88" s="744">
        <f>IF(S89&gt;0,IF(S89&gt;1,0,S89),IFERROR(IF((K88*3+L88*4+M88*5+N88*6+O88*7+P88*8+Q88*9)/42&gt;1,1,(K88*3+L88*4+M88*5+N88*6+O88*7+P88*8+Q88*9)/42),""))</f>
        <v>0</v>
      </c>
      <c r="T88" s="321"/>
      <c r="V88" s="1233"/>
      <c r="W88" s="1234"/>
      <c r="X88" s="1235"/>
    </row>
    <row r="89" spans="1:24" ht="12" customHeight="1">
      <c r="B89" s="13"/>
      <c r="C89" s="2"/>
      <c r="D89" s="2"/>
      <c r="E89" s="2"/>
      <c r="F89" s="2"/>
      <c r="G89" s="2"/>
      <c r="H89" s="49"/>
      <c r="I89" s="2"/>
      <c r="J89" s="208"/>
      <c r="K89" s="743" t="s">
        <v>246</v>
      </c>
      <c r="L89" s="203"/>
      <c r="M89" s="203"/>
      <c r="N89" s="203"/>
      <c r="O89" s="203"/>
      <c r="P89" s="607"/>
      <c r="Q89" s="202"/>
      <c r="R89" s="50"/>
      <c r="S89" s="1188"/>
      <c r="T89" s="321"/>
    </row>
    <row r="90" spans="1:24">
      <c r="B90" s="45"/>
      <c r="C90" s="46"/>
      <c r="D90" s="46"/>
      <c r="E90" s="46"/>
      <c r="F90" s="46"/>
      <c r="G90" s="46"/>
      <c r="H90" s="46"/>
      <c r="I90" s="46"/>
      <c r="J90" s="119"/>
      <c r="K90" s="46"/>
      <c r="L90" s="119"/>
      <c r="M90" s="46"/>
      <c r="N90" s="119"/>
      <c r="O90" s="230"/>
      <c r="P90" s="119"/>
      <c r="Q90" s="119"/>
      <c r="R90" s="119"/>
      <c r="S90" s="119"/>
      <c r="T90" s="322"/>
    </row>
    <row r="91" spans="1:24">
      <c r="B91" s="12" t="s">
        <v>100</v>
      </c>
      <c r="H91" s="2"/>
      <c r="I91" s="2"/>
      <c r="J91" s="49"/>
      <c r="K91" s="2"/>
      <c r="L91" s="49"/>
      <c r="M91" s="2"/>
      <c r="N91" s="49"/>
      <c r="O91" s="49"/>
      <c r="P91" s="49"/>
      <c r="Q91" s="49"/>
      <c r="R91" s="49"/>
      <c r="S91" s="49"/>
      <c r="T91" s="121"/>
    </row>
    <row r="92" spans="1:24">
      <c r="A92" s="106"/>
      <c r="B92" s="209" t="s">
        <v>68</v>
      </c>
      <c r="C92" s="106"/>
      <c r="D92" s="106"/>
      <c r="E92" s="106"/>
      <c r="F92" s="106"/>
      <c r="G92" s="106"/>
      <c r="H92" s="106"/>
      <c r="I92" s="106"/>
      <c r="J92" s="107"/>
      <c r="K92" s="106"/>
      <c r="L92" s="107"/>
      <c r="M92" s="106"/>
      <c r="N92" s="107"/>
      <c r="O92" s="107"/>
      <c r="P92" s="107"/>
      <c r="Q92" s="107"/>
      <c r="R92" s="107"/>
      <c r="S92" s="107"/>
      <c r="T92" s="107"/>
    </row>
    <row r="93" spans="1:24">
      <c r="Q93" s="201"/>
      <c r="R93" s="201"/>
      <c r="S93" s="201" t="str">
        <f>HAW!B28</f>
        <v>Kennwertverfahren NRW für HAW; HIS-Institut für Hochschulentwicklung e.V. (24.04.2026)</v>
      </c>
      <c r="T93" s="201"/>
    </row>
    <row r="96" spans="1:24" ht="10.5">
      <c r="B96" s="794" t="str">
        <f>IF(B8=0,B7,CONCATENATE(B7,B8))</f>
        <v>Hochschule …</v>
      </c>
      <c r="C96" s="795"/>
      <c r="D96" s="795"/>
      <c r="E96" s="795"/>
      <c r="F96" s="795"/>
      <c r="G96" s="795"/>
      <c r="H96" s="795"/>
      <c r="I96" s="795"/>
      <c r="J96" s="796"/>
      <c r="K96" s="795"/>
      <c r="L96" s="796"/>
      <c r="M96" s="795"/>
      <c r="N96" s="796"/>
      <c r="O96" s="796"/>
      <c r="P96" s="796"/>
      <c r="Q96" s="796"/>
      <c r="R96" s="796"/>
      <c r="S96" s="796"/>
    </row>
    <row r="97" spans="2:19">
      <c r="B97" s="795" t="str">
        <f>B9</f>
        <v>[Fakultät/Fachbereich]</v>
      </c>
      <c r="C97" s="795"/>
      <c r="D97" s="795"/>
      <c r="E97" s="795"/>
      <c r="F97" s="795"/>
      <c r="G97" s="795"/>
      <c r="H97" s="795"/>
      <c r="I97" s="795"/>
      <c r="J97" s="796"/>
      <c r="K97" s="795"/>
      <c r="L97" s="796"/>
      <c r="M97" s="795"/>
      <c r="N97" s="796"/>
      <c r="O97" s="796"/>
      <c r="P97" s="796"/>
      <c r="Q97" s="796"/>
      <c r="R97" s="796"/>
      <c r="S97" s="796"/>
    </row>
    <row r="98" spans="2:19">
      <c r="B98" s="795" t="str">
        <f>B10</f>
        <v>[Department, Institut o.a.]</v>
      </c>
      <c r="C98" s="795"/>
      <c r="D98" s="795"/>
      <c r="E98" s="795"/>
      <c r="F98" s="795"/>
      <c r="G98" s="795"/>
      <c r="H98" s="795"/>
      <c r="I98" s="795"/>
      <c r="J98" s="796"/>
      <c r="K98" s="795"/>
      <c r="L98" s="796"/>
      <c r="M98" s="795"/>
      <c r="N98" s="796"/>
      <c r="O98" s="796"/>
      <c r="P98" s="796"/>
      <c r="Q98" s="796"/>
      <c r="R98" s="796"/>
      <c r="S98" s="796"/>
    </row>
    <row r="99" spans="2:19">
      <c r="B99" s="795" t="str">
        <f>CONCATENATE(B12,": ",B13)</f>
        <v>Lehr- und Forschungsbereich: Angewandte Naturwissenschaften</v>
      </c>
      <c r="C99" s="795"/>
      <c r="D99" s="795"/>
      <c r="E99" s="795"/>
      <c r="F99" s="795"/>
      <c r="G99" s="795"/>
      <c r="H99" s="795"/>
      <c r="I99" s="795"/>
      <c r="J99" s="796"/>
      <c r="K99" s="795"/>
      <c r="L99" s="796"/>
      <c r="M99" s="795"/>
      <c r="N99" s="796"/>
      <c r="O99" s="796"/>
      <c r="P99" s="796"/>
      <c r="Q99" s="796"/>
      <c r="R99" s="796"/>
      <c r="S99" s="796"/>
    </row>
    <row r="100" spans="2:19">
      <c r="B100" s="202"/>
      <c r="C100" s="202"/>
      <c r="D100" s="202"/>
      <c r="E100" s="202"/>
      <c r="F100" s="202"/>
      <c r="G100" s="202"/>
      <c r="H100" s="202"/>
      <c r="I100" s="202"/>
      <c r="J100" s="607"/>
      <c r="K100" s="202"/>
      <c r="L100" s="607"/>
      <c r="M100" s="202"/>
      <c r="N100" s="607"/>
      <c r="O100" s="607"/>
      <c r="P100" s="607"/>
      <c r="Q100" s="607"/>
      <c r="R100" s="607"/>
      <c r="S100" s="607"/>
    </row>
    <row r="101" spans="2:19">
      <c r="B101" s="110" t="s">
        <v>235</v>
      </c>
      <c r="C101" s="206"/>
      <c r="D101" s="206"/>
      <c r="E101" s="206"/>
      <c r="F101" s="206"/>
      <c r="G101" s="206"/>
      <c r="H101" s="206"/>
      <c r="I101" s="206"/>
      <c r="J101" s="208"/>
      <c r="K101" s="206"/>
      <c r="L101" s="208"/>
      <c r="M101" s="206"/>
      <c r="N101" s="208"/>
      <c r="O101" s="208"/>
      <c r="P101" s="208"/>
      <c r="Q101" s="208"/>
      <c r="R101" s="208"/>
      <c r="S101" s="208"/>
    </row>
    <row r="102" spans="2:19">
      <c r="B102" s="909"/>
      <c r="C102" s="910"/>
      <c r="D102" s="910"/>
      <c r="E102" s="910"/>
      <c r="F102" s="910"/>
      <c r="G102" s="910"/>
      <c r="H102" s="910"/>
      <c r="I102" s="910"/>
      <c r="J102" s="544"/>
      <c r="K102" s="910"/>
      <c r="L102" s="544"/>
      <c r="M102" s="910"/>
      <c r="N102" s="544"/>
      <c r="O102" s="544"/>
      <c r="P102" s="544"/>
      <c r="Q102" s="544"/>
      <c r="R102" s="544"/>
      <c r="S102" s="1173"/>
    </row>
    <row r="103" spans="2:19" ht="10.5">
      <c r="B103" s="210"/>
      <c r="C103" s="206"/>
      <c r="D103" s="206"/>
      <c r="E103" s="206"/>
      <c r="F103" s="206"/>
      <c r="G103" s="1166" t="s">
        <v>249</v>
      </c>
      <c r="H103" s="797">
        <f>SUM(H107:H156)</f>
        <v>0</v>
      </c>
      <c r="I103" s="206"/>
      <c r="J103" s="208"/>
      <c r="K103" s="206"/>
      <c r="L103" s="208"/>
      <c r="M103" s="206"/>
      <c r="N103" s="208"/>
      <c r="O103" s="1166" t="s">
        <v>265</v>
      </c>
      <c r="P103" s="1353">
        <f>SUMPRODUCT(H107:H156,P107:P156)+SUMPRODUCT(H107:H156,Q107:Q156)</f>
        <v>0</v>
      </c>
      <c r="Q103" s="1354"/>
      <c r="R103" s="208"/>
      <c r="S103" s="1174"/>
    </row>
    <row r="104" spans="2:19">
      <c r="B104" s="210"/>
      <c r="C104" s="206"/>
      <c r="D104" s="206"/>
      <c r="E104" s="206"/>
      <c r="F104" s="206"/>
      <c r="G104" s="207"/>
      <c r="H104" s="798"/>
      <c r="I104" s="206"/>
      <c r="J104" s="208"/>
      <c r="K104" s="206"/>
      <c r="L104" s="208"/>
      <c r="M104" s="206"/>
      <c r="N104" s="208"/>
      <c r="O104" s="207"/>
      <c r="P104" s="799" t="str">
        <f>IF($P103=0,"",SUMPRODUCT($H107:$H156,P107:P156)/$P103)</f>
        <v/>
      </c>
      <c r="Q104" s="799" t="str">
        <f>IF($P103=0,"",SUMPRODUCT($H107:$H156,Q107:Q156)/$P103)</f>
        <v/>
      </c>
      <c r="R104" s="208"/>
      <c r="S104" s="1174"/>
    </row>
    <row r="105" spans="2:19" ht="10.5">
      <c r="B105" s="210"/>
      <c r="C105" s="206"/>
      <c r="D105" s="206"/>
      <c r="E105" s="206"/>
      <c r="F105" s="206"/>
      <c r="G105" s="206"/>
      <c r="H105" s="206"/>
      <c r="I105" s="206"/>
      <c r="J105" s="208"/>
      <c r="K105" s="206"/>
      <c r="L105" s="208"/>
      <c r="M105" s="206"/>
      <c r="N105" s="208"/>
      <c r="O105" s="208"/>
      <c r="P105" s="1355"/>
      <c r="Q105" s="1355"/>
      <c r="R105" s="208"/>
      <c r="S105" s="1174"/>
    </row>
    <row r="106" spans="2:19" ht="10.5">
      <c r="B106" s="1175" t="s">
        <v>250</v>
      </c>
      <c r="C106" s="800" t="s">
        <v>251</v>
      </c>
      <c r="D106" s="238"/>
      <c r="E106" s="238"/>
      <c r="F106" s="238"/>
      <c r="G106" s="238"/>
      <c r="H106" s="239" t="s">
        <v>252</v>
      </c>
      <c r="I106" s="238" t="s">
        <v>253</v>
      </c>
      <c r="J106" s="238"/>
      <c r="K106" s="239"/>
      <c r="L106" s="238"/>
      <c r="M106" s="239"/>
      <c r="N106" s="208"/>
      <c r="O106" s="801" t="s">
        <v>88</v>
      </c>
      <c r="P106" s="239" t="s">
        <v>84</v>
      </c>
      <c r="Q106" s="239" t="s">
        <v>85</v>
      </c>
      <c r="R106" s="208"/>
      <c r="S106" s="1174"/>
    </row>
    <row r="107" spans="2:19">
      <c r="B107" s="210" t="str">
        <f>IF(COUNTA(C107)=1,1,"")</f>
        <v/>
      </c>
      <c r="C107" s="802"/>
      <c r="D107" s="803"/>
      <c r="E107" s="803"/>
      <c r="F107" s="803"/>
      <c r="G107" s="803"/>
      <c r="H107" s="804"/>
      <c r="I107" s="802"/>
      <c r="J107" s="803"/>
      <c r="K107" s="803"/>
      <c r="L107" s="803"/>
      <c r="M107" s="803"/>
      <c r="N107" s="803"/>
      <c r="O107" s="805"/>
      <c r="P107" s="806"/>
      <c r="Q107" s="806"/>
      <c r="R107" s="807">
        <f>SUM(O107:Q107)</f>
        <v>0</v>
      </c>
      <c r="S107" s="1174"/>
    </row>
    <row r="108" spans="2:19">
      <c r="B108" s="210" t="str">
        <f>IF(COUNTA(C108)=1,MAX(B$107:B107)+1,"")</f>
        <v/>
      </c>
      <c r="C108" s="808"/>
      <c r="D108" s="809"/>
      <c r="E108" s="809"/>
      <c r="F108" s="809"/>
      <c r="G108" s="809"/>
      <c r="H108" s="810"/>
      <c r="I108" s="808"/>
      <c r="J108" s="809"/>
      <c r="K108" s="809"/>
      <c r="L108" s="809"/>
      <c r="M108" s="809"/>
      <c r="N108" s="809"/>
      <c r="O108" s="811"/>
      <c r="P108" s="812"/>
      <c r="Q108" s="812"/>
      <c r="R108" s="807">
        <f t="shared" ref="R108:R156" si="2">SUM(O108:Q108)</f>
        <v>0</v>
      </c>
      <c r="S108" s="1174"/>
    </row>
    <row r="109" spans="2:19">
      <c r="B109" s="210" t="str">
        <f>IF(COUNTA(C109)=1,MAX(B$107:B108)+1,"")</f>
        <v/>
      </c>
      <c r="C109" s="808"/>
      <c r="D109" s="809"/>
      <c r="E109" s="809"/>
      <c r="F109" s="809"/>
      <c r="G109" s="809"/>
      <c r="H109" s="810"/>
      <c r="I109" s="808"/>
      <c r="J109" s="809"/>
      <c r="K109" s="809"/>
      <c r="L109" s="809"/>
      <c r="M109" s="809"/>
      <c r="N109" s="809"/>
      <c r="O109" s="811"/>
      <c r="P109" s="812"/>
      <c r="Q109" s="812"/>
      <c r="R109" s="807">
        <f t="shared" si="2"/>
        <v>0</v>
      </c>
      <c r="S109" s="1174"/>
    </row>
    <row r="110" spans="2:19">
      <c r="B110" s="210" t="str">
        <f>IF(COUNTA(C110)=1,MAX(B$107:B109)+1,"")</f>
        <v/>
      </c>
      <c r="C110" s="808"/>
      <c r="D110" s="809"/>
      <c r="E110" s="809"/>
      <c r="F110" s="809"/>
      <c r="G110" s="809"/>
      <c r="H110" s="810"/>
      <c r="I110" s="808"/>
      <c r="J110" s="809"/>
      <c r="K110" s="809"/>
      <c r="L110" s="809"/>
      <c r="M110" s="809"/>
      <c r="N110" s="809"/>
      <c r="O110" s="811"/>
      <c r="P110" s="812"/>
      <c r="Q110" s="812"/>
      <c r="R110" s="807">
        <f t="shared" si="2"/>
        <v>0</v>
      </c>
      <c r="S110" s="1174"/>
    </row>
    <row r="111" spans="2:19">
      <c r="B111" s="210" t="str">
        <f>IF(COUNTA(C111)=1,MAX(B$107:B110)+1,"")</f>
        <v/>
      </c>
      <c r="C111" s="808"/>
      <c r="D111" s="809"/>
      <c r="E111" s="809"/>
      <c r="F111" s="809"/>
      <c r="G111" s="809"/>
      <c r="H111" s="810"/>
      <c r="I111" s="808"/>
      <c r="J111" s="809"/>
      <c r="K111" s="809"/>
      <c r="L111" s="809"/>
      <c r="M111" s="809"/>
      <c r="N111" s="809"/>
      <c r="O111" s="811"/>
      <c r="P111" s="812"/>
      <c r="Q111" s="812"/>
      <c r="R111" s="807">
        <f t="shared" si="2"/>
        <v>0</v>
      </c>
      <c r="S111" s="1174"/>
    </row>
    <row r="112" spans="2:19">
      <c r="B112" s="210" t="str">
        <f>IF(COUNTA(C112)=1,MAX(B$107:B111)+1,"")</f>
        <v/>
      </c>
      <c r="C112" s="808"/>
      <c r="D112" s="809"/>
      <c r="E112" s="809"/>
      <c r="F112" s="809"/>
      <c r="G112" s="809"/>
      <c r="H112" s="810"/>
      <c r="I112" s="808"/>
      <c r="J112" s="809"/>
      <c r="K112" s="809"/>
      <c r="L112" s="809"/>
      <c r="M112" s="809"/>
      <c r="N112" s="809"/>
      <c r="O112" s="811"/>
      <c r="P112" s="812"/>
      <c r="Q112" s="812"/>
      <c r="R112" s="807">
        <f t="shared" si="2"/>
        <v>0</v>
      </c>
      <c r="S112" s="1174"/>
    </row>
    <row r="113" spans="2:19">
      <c r="B113" s="210" t="str">
        <f>IF(COUNTA(C113)=1,MAX(B$107:B112)+1,"")</f>
        <v/>
      </c>
      <c r="C113" s="808"/>
      <c r="D113" s="809"/>
      <c r="E113" s="809"/>
      <c r="F113" s="809"/>
      <c r="G113" s="809"/>
      <c r="H113" s="810"/>
      <c r="I113" s="808"/>
      <c r="J113" s="809"/>
      <c r="K113" s="809"/>
      <c r="L113" s="809"/>
      <c r="M113" s="809"/>
      <c r="N113" s="809"/>
      <c r="O113" s="811"/>
      <c r="P113" s="812"/>
      <c r="Q113" s="812"/>
      <c r="R113" s="807">
        <f t="shared" si="2"/>
        <v>0</v>
      </c>
      <c r="S113" s="1174"/>
    </row>
    <row r="114" spans="2:19">
      <c r="B114" s="210" t="str">
        <f>IF(COUNTA(C114)=1,MAX(B$107:B113)+1,"")</f>
        <v/>
      </c>
      <c r="C114" s="808"/>
      <c r="D114" s="809"/>
      <c r="E114" s="809"/>
      <c r="F114" s="809"/>
      <c r="G114" s="809"/>
      <c r="H114" s="810"/>
      <c r="I114" s="808"/>
      <c r="J114" s="809"/>
      <c r="K114" s="809"/>
      <c r="L114" s="809"/>
      <c r="M114" s="809"/>
      <c r="N114" s="809"/>
      <c r="O114" s="811"/>
      <c r="P114" s="812"/>
      <c r="Q114" s="812"/>
      <c r="R114" s="807">
        <f t="shared" si="2"/>
        <v>0</v>
      </c>
      <c r="S114" s="1174"/>
    </row>
    <row r="115" spans="2:19">
      <c r="B115" s="210" t="str">
        <f>IF(COUNTA(C115)=1,MAX(B$107:B114)+1,"")</f>
        <v/>
      </c>
      <c r="C115" s="808"/>
      <c r="D115" s="809"/>
      <c r="E115" s="809"/>
      <c r="F115" s="809"/>
      <c r="G115" s="809"/>
      <c r="H115" s="810"/>
      <c r="I115" s="808"/>
      <c r="J115" s="809"/>
      <c r="K115" s="809"/>
      <c r="L115" s="809"/>
      <c r="M115" s="809"/>
      <c r="N115" s="809"/>
      <c r="O115" s="811"/>
      <c r="P115" s="812"/>
      <c r="Q115" s="812"/>
      <c r="R115" s="807">
        <f t="shared" si="2"/>
        <v>0</v>
      </c>
      <c r="S115" s="1174"/>
    </row>
    <row r="116" spans="2:19">
      <c r="B116" s="210" t="str">
        <f>IF(COUNTA(C116)=1,MAX(B$107:B115)+1,"")</f>
        <v/>
      </c>
      <c r="C116" s="808"/>
      <c r="D116" s="809"/>
      <c r="E116" s="809"/>
      <c r="F116" s="809"/>
      <c r="G116" s="809"/>
      <c r="H116" s="810"/>
      <c r="I116" s="808"/>
      <c r="J116" s="809"/>
      <c r="K116" s="809"/>
      <c r="L116" s="809"/>
      <c r="M116" s="809"/>
      <c r="N116" s="809"/>
      <c r="O116" s="811"/>
      <c r="P116" s="812"/>
      <c r="Q116" s="812"/>
      <c r="R116" s="807">
        <f t="shared" si="2"/>
        <v>0</v>
      </c>
      <c r="S116" s="1174"/>
    </row>
    <row r="117" spans="2:19">
      <c r="B117" s="210" t="str">
        <f>IF(COUNTA(C117)=1,MAX(B$107:B116)+1,"")</f>
        <v/>
      </c>
      <c r="C117" s="808"/>
      <c r="D117" s="809"/>
      <c r="E117" s="809"/>
      <c r="F117" s="809"/>
      <c r="G117" s="809"/>
      <c r="H117" s="810"/>
      <c r="I117" s="808"/>
      <c r="J117" s="809"/>
      <c r="K117" s="809"/>
      <c r="L117" s="809"/>
      <c r="M117" s="809"/>
      <c r="N117" s="809"/>
      <c r="O117" s="811"/>
      <c r="P117" s="812"/>
      <c r="Q117" s="812"/>
      <c r="R117" s="807">
        <f t="shared" si="2"/>
        <v>0</v>
      </c>
      <c r="S117" s="1174"/>
    </row>
    <row r="118" spans="2:19">
      <c r="B118" s="210" t="str">
        <f>IF(COUNTA(C118)=1,MAX(B$107:B117)+1,"")</f>
        <v/>
      </c>
      <c r="C118" s="808"/>
      <c r="D118" s="809"/>
      <c r="E118" s="809"/>
      <c r="F118" s="809"/>
      <c r="G118" s="809"/>
      <c r="H118" s="810"/>
      <c r="I118" s="808"/>
      <c r="J118" s="809"/>
      <c r="K118" s="809"/>
      <c r="L118" s="809"/>
      <c r="M118" s="809"/>
      <c r="N118" s="809"/>
      <c r="O118" s="811">
        <v>0</v>
      </c>
      <c r="P118" s="812"/>
      <c r="Q118" s="812">
        <v>0</v>
      </c>
      <c r="R118" s="807">
        <f t="shared" si="2"/>
        <v>0</v>
      </c>
      <c r="S118" s="1174"/>
    </row>
    <row r="119" spans="2:19">
      <c r="B119" s="210" t="str">
        <f>IF(COUNTA(C119)=1,MAX(B$107:B118)+1,"")</f>
        <v/>
      </c>
      <c r="C119" s="808"/>
      <c r="D119" s="809"/>
      <c r="E119" s="809"/>
      <c r="F119" s="809"/>
      <c r="G119" s="809"/>
      <c r="H119" s="810"/>
      <c r="I119" s="808"/>
      <c r="J119" s="809"/>
      <c r="K119" s="809"/>
      <c r="L119" s="809"/>
      <c r="M119" s="809"/>
      <c r="N119" s="809"/>
      <c r="O119" s="811">
        <v>0</v>
      </c>
      <c r="P119" s="812"/>
      <c r="Q119" s="812">
        <v>0</v>
      </c>
      <c r="R119" s="807">
        <f t="shared" si="2"/>
        <v>0</v>
      </c>
      <c r="S119" s="1174"/>
    </row>
    <row r="120" spans="2:19">
      <c r="B120" s="210" t="str">
        <f>IF(COUNTA(C120)=1,MAX(B$107:B119)+1,"")</f>
        <v/>
      </c>
      <c r="C120" s="808"/>
      <c r="D120" s="809"/>
      <c r="E120" s="809"/>
      <c r="F120" s="809"/>
      <c r="G120" s="809"/>
      <c r="H120" s="810"/>
      <c r="I120" s="808"/>
      <c r="J120" s="809"/>
      <c r="K120" s="809"/>
      <c r="L120" s="809"/>
      <c r="M120" s="809"/>
      <c r="N120" s="809"/>
      <c r="O120" s="811">
        <v>0</v>
      </c>
      <c r="P120" s="812"/>
      <c r="Q120" s="812">
        <v>0</v>
      </c>
      <c r="R120" s="807">
        <f t="shared" si="2"/>
        <v>0</v>
      </c>
      <c r="S120" s="1174"/>
    </row>
    <row r="121" spans="2:19">
      <c r="B121" s="210" t="str">
        <f>IF(COUNTA(C121)=1,MAX(B$107:B120)+1,"")</f>
        <v/>
      </c>
      <c r="C121" s="808"/>
      <c r="D121" s="809"/>
      <c r="E121" s="809"/>
      <c r="F121" s="809"/>
      <c r="G121" s="809"/>
      <c r="H121" s="810"/>
      <c r="I121" s="808"/>
      <c r="J121" s="809"/>
      <c r="K121" s="809"/>
      <c r="L121" s="809"/>
      <c r="M121" s="809"/>
      <c r="N121" s="809"/>
      <c r="O121" s="811">
        <v>0</v>
      </c>
      <c r="P121" s="812"/>
      <c r="Q121" s="812">
        <v>0</v>
      </c>
      <c r="R121" s="807">
        <f t="shared" si="2"/>
        <v>0</v>
      </c>
      <c r="S121" s="1174"/>
    </row>
    <row r="122" spans="2:19">
      <c r="B122" s="210" t="str">
        <f>IF(COUNTA(C122)=1,MAX(B$107:B121)+1,"")</f>
        <v/>
      </c>
      <c r="C122" s="808"/>
      <c r="D122" s="809"/>
      <c r="E122" s="809"/>
      <c r="F122" s="809"/>
      <c r="G122" s="809"/>
      <c r="H122" s="810"/>
      <c r="I122" s="808"/>
      <c r="J122" s="809"/>
      <c r="K122" s="809"/>
      <c r="L122" s="809"/>
      <c r="M122" s="809"/>
      <c r="N122" s="809"/>
      <c r="O122" s="811">
        <v>0</v>
      </c>
      <c r="P122" s="812"/>
      <c r="Q122" s="812">
        <v>0</v>
      </c>
      <c r="R122" s="807">
        <f t="shared" si="2"/>
        <v>0</v>
      </c>
      <c r="S122" s="1174"/>
    </row>
    <row r="123" spans="2:19">
      <c r="B123" s="210" t="str">
        <f>IF(COUNTA(C123)=1,MAX(B$107:B122)+1,"")</f>
        <v/>
      </c>
      <c r="C123" s="808"/>
      <c r="D123" s="809"/>
      <c r="E123" s="809"/>
      <c r="F123" s="809"/>
      <c r="G123" s="809"/>
      <c r="H123" s="810"/>
      <c r="I123" s="808"/>
      <c r="J123" s="809"/>
      <c r="K123" s="809"/>
      <c r="L123" s="809"/>
      <c r="M123" s="809"/>
      <c r="N123" s="809"/>
      <c r="O123" s="811">
        <v>0</v>
      </c>
      <c r="P123" s="812"/>
      <c r="Q123" s="812">
        <v>0</v>
      </c>
      <c r="R123" s="807">
        <f t="shared" si="2"/>
        <v>0</v>
      </c>
      <c r="S123" s="1174"/>
    </row>
    <row r="124" spans="2:19">
      <c r="B124" s="210" t="str">
        <f>IF(COUNTA(C124)=1,MAX(B$107:B123)+1,"")</f>
        <v/>
      </c>
      <c r="C124" s="808"/>
      <c r="D124" s="809"/>
      <c r="E124" s="809"/>
      <c r="F124" s="809"/>
      <c r="G124" s="809"/>
      <c r="H124" s="810"/>
      <c r="I124" s="808"/>
      <c r="J124" s="809"/>
      <c r="K124" s="809"/>
      <c r="L124" s="809"/>
      <c r="M124" s="809"/>
      <c r="N124" s="809"/>
      <c r="O124" s="811">
        <v>0</v>
      </c>
      <c r="P124" s="812"/>
      <c r="Q124" s="812">
        <v>0</v>
      </c>
      <c r="R124" s="807">
        <f t="shared" si="2"/>
        <v>0</v>
      </c>
      <c r="S124" s="1174"/>
    </row>
    <row r="125" spans="2:19">
      <c r="B125" s="210" t="str">
        <f>IF(COUNTA(C125)=1,MAX(B$107:B124)+1,"")</f>
        <v/>
      </c>
      <c r="C125" s="808"/>
      <c r="D125" s="809"/>
      <c r="E125" s="809"/>
      <c r="F125" s="809"/>
      <c r="G125" s="809"/>
      <c r="H125" s="810"/>
      <c r="I125" s="808"/>
      <c r="J125" s="809"/>
      <c r="K125" s="809"/>
      <c r="L125" s="809"/>
      <c r="M125" s="809"/>
      <c r="N125" s="809"/>
      <c r="O125" s="811">
        <v>0</v>
      </c>
      <c r="P125" s="812"/>
      <c r="Q125" s="812">
        <v>0</v>
      </c>
      <c r="R125" s="807">
        <f t="shared" si="2"/>
        <v>0</v>
      </c>
      <c r="S125" s="1174"/>
    </row>
    <row r="126" spans="2:19">
      <c r="B126" s="210" t="str">
        <f>IF(COUNTA(C126)=1,MAX(B$107:B125)+1,"")</f>
        <v/>
      </c>
      <c r="C126" s="808"/>
      <c r="D126" s="809"/>
      <c r="E126" s="809"/>
      <c r="F126" s="809"/>
      <c r="G126" s="809"/>
      <c r="H126" s="810"/>
      <c r="I126" s="808"/>
      <c r="J126" s="809"/>
      <c r="K126" s="809"/>
      <c r="L126" s="809"/>
      <c r="M126" s="809"/>
      <c r="N126" s="809"/>
      <c r="O126" s="811">
        <v>0</v>
      </c>
      <c r="P126" s="812"/>
      <c r="Q126" s="812">
        <v>0</v>
      </c>
      <c r="R126" s="807">
        <f t="shared" si="2"/>
        <v>0</v>
      </c>
      <c r="S126" s="1174"/>
    </row>
    <row r="127" spans="2:19">
      <c r="B127" s="210" t="str">
        <f>IF(COUNTA(C127)=1,MAX(B$107:B126)+1,"")</f>
        <v/>
      </c>
      <c r="C127" s="808"/>
      <c r="D127" s="809"/>
      <c r="E127" s="809"/>
      <c r="F127" s="809"/>
      <c r="G127" s="809"/>
      <c r="H127" s="810"/>
      <c r="I127" s="808"/>
      <c r="J127" s="809"/>
      <c r="K127" s="809"/>
      <c r="L127" s="809"/>
      <c r="M127" s="809"/>
      <c r="N127" s="809"/>
      <c r="O127" s="811">
        <v>0</v>
      </c>
      <c r="P127" s="812"/>
      <c r="Q127" s="812">
        <v>0</v>
      </c>
      <c r="R127" s="807">
        <f t="shared" si="2"/>
        <v>0</v>
      </c>
      <c r="S127" s="1174"/>
    </row>
    <row r="128" spans="2:19">
      <c r="B128" s="210" t="str">
        <f>IF(COUNTA(C128)=1,MAX(B$107:B127)+1,"")</f>
        <v/>
      </c>
      <c r="C128" s="808"/>
      <c r="D128" s="809"/>
      <c r="E128" s="809"/>
      <c r="F128" s="809"/>
      <c r="G128" s="809"/>
      <c r="H128" s="810"/>
      <c r="I128" s="808"/>
      <c r="J128" s="809"/>
      <c r="K128" s="809"/>
      <c r="L128" s="809"/>
      <c r="M128" s="809"/>
      <c r="N128" s="809"/>
      <c r="O128" s="811">
        <v>0</v>
      </c>
      <c r="P128" s="812"/>
      <c r="Q128" s="812">
        <v>0</v>
      </c>
      <c r="R128" s="807">
        <f t="shared" si="2"/>
        <v>0</v>
      </c>
      <c r="S128" s="1174"/>
    </row>
    <row r="129" spans="2:19">
      <c r="B129" s="210" t="str">
        <f>IF(COUNTA(C129)=1,MAX(B$107:B128)+1,"")</f>
        <v/>
      </c>
      <c r="C129" s="808"/>
      <c r="D129" s="809"/>
      <c r="E129" s="809"/>
      <c r="F129" s="809"/>
      <c r="G129" s="809"/>
      <c r="H129" s="810"/>
      <c r="I129" s="808"/>
      <c r="J129" s="809"/>
      <c r="K129" s="809"/>
      <c r="L129" s="809"/>
      <c r="M129" s="809"/>
      <c r="N129" s="809"/>
      <c r="O129" s="811">
        <v>0</v>
      </c>
      <c r="P129" s="812"/>
      <c r="Q129" s="812">
        <v>0</v>
      </c>
      <c r="R129" s="807">
        <f t="shared" si="2"/>
        <v>0</v>
      </c>
      <c r="S129" s="1174"/>
    </row>
    <row r="130" spans="2:19">
      <c r="B130" s="210" t="str">
        <f>IF(COUNTA(C130)=1,MAX(B$107:B129)+1,"")</f>
        <v/>
      </c>
      <c r="C130" s="808"/>
      <c r="D130" s="809"/>
      <c r="E130" s="809"/>
      <c r="F130" s="809"/>
      <c r="G130" s="809"/>
      <c r="H130" s="810"/>
      <c r="I130" s="808"/>
      <c r="J130" s="809"/>
      <c r="K130" s="809"/>
      <c r="L130" s="809"/>
      <c r="M130" s="809"/>
      <c r="N130" s="809"/>
      <c r="O130" s="811">
        <v>0</v>
      </c>
      <c r="P130" s="812"/>
      <c r="Q130" s="812">
        <v>0</v>
      </c>
      <c r="R130" s="807">
        <f t="shared" si="2"/>
        <v>0</v>
      </c>
      <c r="S130" s="1174"/>
    </row>
    <row r="131" spans="2:19">
      <c r="B131" s="210" t="str">
        <f>IF(COUNTA(C131)=1,MAX(B$107:B130)+1,"")</f>
        <v/>
      </c>
      <c r="C131" s="808"/>
      <c r="D131" s="809"/>
      <c r="E131" s="809"/>
      <c r="F131" s="809"/>
      <c r="G131" s="809"/>
      <c r="H131" s="810"/>
      <c r="I131" s="808"/>
      <c r="J131" s="809"/>
      <c r="K131" s="809"/>
      <c r="L131" s="809"/>
      <c r="M131" s="809"/>
      <c r="N131" s="809"/>
      <c r="O131" s="811">
        <v>0</v>
      </c>
      <c r="P131" s="812"/>
      <c r="Q131" s="812">
        <v>0</v>
      </c>
      <c r="R131" s="807">
        <f t="shared" si="2"/>
        <v>0</v>
      </c>
      <c r="S131" s="1174"/>
    </row>
    <row r="132" spans="2:19">
      <c r="B132" s="210" t="str">
        <f>IF(COUNTA(C132)=1,MAX(B$107:B131)+1,"")</f>
        <v/>
      </c>
      <c r="C132" s="808"/>
      <c r="D132" s="809"/>
      <c r="E132" s="809"/>
      <c r="F132" s="809"/>
      <c r="G132" s="809"/>
      <c r="H132" s="810"/>
      <c r="I132" s="808"/>
      <c r="J132" s="809"/>
      <c r="K132" s="809"/>
      <c r="L132" s="809"/>
      <c r="M132" s="809"/>
      <c r="N132" s="809"/>
      <c r="O132" s="811">
        <v>0</v>
      </c>
      <c r="P132" s="812"/>
      <c r="Q132" s="812">
        <v>0</v>
      </c>
      <c r="R132" s="807">
        <f t="shared" si="2"/>
        <v>0</v>
      </c>
      <c r="S132" s="1174"/>
    </row>
    <row r="133" spans="2:19">
      <c r="B133" s="210" t="str">
        <f>IF(COUNTA(C133)=1,MAX(B$107:B132)+1,"")</f>
        <v/>
      </c>
      <c r="C133" s="808"/>
      <c r="D133" s="809"/>
      <c r="E133" s="809"/>
      <c r="F133" s="809"/>
      <c r="G133" s="809"/>
      <c r="H133" s="810"/>
      <c r="I133" s="808"/>
      <c r="J133" s="809"/>
      <c r="K133" s="809"/>
      <c r="L133" s="809"/>
      <c r="M133" s="809"/>
      <c r="N133" s="809"/>
      <c r="O133" s="811">
        <v>0</v>
      </c>
      <c r="P133" s="812"/>
      <c r="Q133" s="812">
        <v>0</v>
      </c>
      <c r="R133" s="807">
        <f t="shared" si="2"/>
        <v>0</v>
      </c>
      <c r="S133" s="1174"/>
    </row>
    <row r="134" spans="2:19">
      <c r="B134" s="210" t="str">
        <f>IF(COUNTA(C134)=1,MAX(B$107:B133)+1,"")</f>
        <v/>
      </c>
      <c r="C134" s="808"/>
      <c r="D134" s="809"/>
      <c r="E134" s="809"/>
      <c r="F134" s="809"/>
      <c r="G134" s="809"/>
      <c r="H134" s="810"/>
      <c r="I134" s="808"/>
      <c r="J134" s="809"/>
      <c r="K134" s="809"/>
      <c r="L134" s="809"/>
      <c r="M134" s="809"/>
      <c r="N134" s="809"/>
      <c r="O134" s="811">
        <v>0</v>
      </c>
      <c r="P134" s="812"/>
      <c r="Q134" s="812">
        <v>0</v>
      </c>
      <c r="R134" s="807">
        <f t="shared" si="2"/>
        <v>0</v>
      </c>
      <c r="S134" s="1174"/>
    </row>
    <row r="135" spans="2:19">
      <c r="B135" s="210" t="str">
        <f>IF(COUNTA(C135)=1,MAX(B$107:B134)+1,"")</f>
        <v/>
      </c>
      <c r="C135" s="808"/>
      <c r="D135" s="809"/>
      <c r="E135" s="809"/>
      <c r="F135" s="809"/>
      <c r="G135" s="809"/>
      <c r="H135" s="810"/>
      <c r="I135" s="808"/>
      <c r="J135" s="809"/>
      <c r="K135" s="809"/>
      <c r="L135" s="809"/>
      <c r="M135" s="809"/>
      <c r="N135" s="809"/>
      <c r="O135" s="811">
        <v>0</v>
      </c>
      <c r="P135" s="812"/>
      <c r="Q135" s="812">
        <v>0</v>
      </c>
      <c r="R135" s="807">
        <f t="shared" si="2"/>
        <v>0</v>
      </c>
      <c r="S135" s="1174"/>
    </row>
    <row r="136" spans="2:19">
      <c r="B136" s="210" t="str">
        <f>IF(COUNTA(C136)=1,MAX(B$107:B135)+1,"")</f>
        <v/>
      </c>
      <c r="C136" s="808"/>
      <c r="D136" s="809"/>
      <c r="E136" s="809"/>
      <c r="F136" s="809"/>
      <c r="G136" s="809"/>
      <c r="H136" s="810"/>
      <c r="I136" s="808"/>
      <c r="J136" s="809"/>
      <c r="K136" s="809"/>
      <c r="L136" s="809"/>
      <c r="M136" s="809"/>
      <c r="N136" s="809"/>
      <c r="O136" s="811">
        <v>0</v>
      </c>
      <c r="P136" s="812"/>
      <c r="Q136" s="812">
        <v>0</v>
      </c>
      <c r="R136" s="807">
        <f t="shared" si="2"/>
        <v>0</v>
      </c>
      <c r="S136" s="1174"/>
    </row>
    <row r="137" spans="2:19">
      <c r="B137" s="210" t="str">
        <f>IF(COUNTA(C137)=1,MAX(B$107:B136)+1,"")</f>
        <v/>
      </c>
      <c r="C137" s="808"/>
      <c r="D137" s="809"/>
      <c r="E137" s="809"/>
      <c r="F137" s="809"/>
      <c r="G137" s="809"/>
      <c r="H137" s="810"/>
      <c r="I137" s="808"/>
      <c r="J137" s="809"/>
      <c r="K137" s="809"/>
      <c r="L137" s="809"/>
      <c r="M137" s="809"/>
      <c r="N137" s="809"/>
      <c r="O137" s="811">
        <v>0</v>
      </c>
      <c r="P137" s="812"/>
      <c r="Q137" s="812">
        <v>0</v>
      </c>
      <c r="R137" s="807">
        <f t="shared" si="2"/>
        <v>0</v>
      </c>
      <c r="S137" s="1174"/>
    </row>
    <row r="138" spans="2:19">
      <c r="B138" s="210" t="str">
        <f>IF(COUNTA(C138)=1,MAX(B$107:B137)+1,"")</f>
        <v/>
      </c>
      <c r="C138" s="808"/>
      <c r="D138" s="809"/>
      <c r="E138" s="809"/>
      <c r="F138" s="809"/>
      <c r="G138" s="809"/>
      <c r="H138" s="810"/>
      <c r="I138" s="808"/>
      <c r="J138" s="809"/>
      <c r="K138" s="809"/>
      <c r="L138" s="809"/>
      <c r="M138" s="809"/>
      <c r="N138" s="809"/>
      <c r="O138" s="811">
        <v>0</v>
      </c>
      <c r="P138" s="812"/>
      <c r="Q138" s="812">
        <v>0</v>
      </c>
      <c r="R138" s="807">
        <f t="shared" si="2"/>
        <v>0</v>
      </c>
      <c r="S138" s="1174"/>
    </row>
    <row r="139" spans="2:19">
      <c r="B139" s="210" t="str">
        <f>IF(COUNTA(C139)=1,MAX(B$107:B138)+1,"")</f>
        <v/>
      </c>
      <c r="C139" s="808"/>
      <c r="D139" s="809"/>
      <c r="E139" s="809"/>
      <c r="F139" s="809"/>
      <c r="G139" s="809"/>
      <c r="H139" s="810"/>
      <c r="I139" s="808"/>
      <c r="J139" s="809"/>
      <c r="K139" s="809"/>
      <c r="L139" s="809"/>
      <c r="M139" s="809"/>
      <c r="N139" s="809"/>
      <c r="O139" s="811">
        <v>0</v>
      </c>
      <c r="P139" s="812"/>
      <c r="Q139" s="812">
        <v>0</v>
      </c>
      <c r="R139" s="807">
        <f t="shared" si="2"/>
        <v>0</v>
      </c>
      <c r="S139" s="1174"/>
    </row>
    <row r="140" spans="2:19">
      <c r="B140" s="210" t="str">
        <f>IF(COUNTA(C140)=1,MAX(B$107:B139)+1,"")</f>
        <v/>
      </c>
      <c r="C140" s="808"/>
      <c r="D140" s="809"/>
      <c r="E140" s="809"/>
      <c r="F140" s="809"/>
      <c r="G140" s="809"/>
      <c r="H140" s="810"/>
      <c r="I140" s="808"/>
      <c r="J140" s="809"/>
      <c r="K140" s="809"/>
      <c r="L140" s="809"/>
      <c r="M140" s="809"/>
      <c r="N140" s="809"/>
      <c r="O140" s="811">
        <v>0</v>
      </c>
      <c r="P140" s="812"/>
      <c r="Q140" s="812">
        <v>0</v>
      </c>
      <c r="R140" s="807">
        <f t="shared" si="2"/>
        <v>0</v>
      </c>
      <c r="S140" s="1174"/>
    </row>
    <row r="141" spans="2:19">
      <c r="B141" s="210" t="str">
        <f>IF(COUNTA(C141)=1,MAX(B$107:B140)+1,"")</f>
        <v/>
      </c>
      <c r="C141" s="808"/>
      <c r="D141" s="809"/>
      <c r="E141" s="809"/>
      <c r="F141" s="809"/>
      <c r="G141" s="809"/>
      <c r="H141" s="810"/>
      <c r="I141" s="808"/>
      <c r="J141" s="809"/>
      <c r="K141" s="809"/>
      <c r="L141" s="809"/>
      <c r="M141" s="809"/>
      <c r="N141" s="809"/>
      <c r="O141" s="811">
        <v>0</v>
      </c>
      <c r="P141" s="812"/>
      <c r="Q141" s="812">
        <v>0</v>
      </c>
      <c r="R141" s="807">
        <f t="shared" si="2"/>
        <v>0</v>
      </c>
      <c r="S141" s="1174"/>
    </row>
    <row r="142" spans="2:19">
      <c r="B142" s="210" t="str">
        <f>IF(COUNTA(C142)=1,MAX(B$107:B141)+1,"")</f>
        <v/>
      </c>
      <c r="C142" s="808"/>
      <c r="D142" s="809"/>
      <c r="E142" s="809"/>
      <c r="F142" s="809"/>
      <c r="G142" s="809"/>
      <c r="H142" s="810"/>
      <c r="I142" s="808"/>
      <c r="J142" s="809"/>
      <c r="K142" s="809"/>
      <c r="L142" s="809"/>
      <c r="M142" s="809"/>
      <c r="N142" s="809"/>
      <c r="O142" s="811">
        <v>0</v>
      </c>
      <c r="P142" s="812"/>
      <c r="Q142" s="812">
        <v>0</v>
      </c>
      <c r="R142" s="807">
        <f t="shared" si="2"/>
        <v>0</v>
      </c>
      <c r="S142" s="1174"/>
    </row>
    <row r="143" spans="2:19">
      <c r="B143" s="210" t="str">
        <f>IF(COUNTA(C143)=1,MAX(B$107:B142)+1,"")</f>
        <v/>
      </c>
      <c r="C143" s="808"/>
      <c r="D143" s="809"/>
      <c r="E143" s="809"/>
      <c r="F143" s="809"/>
      <c r="G143" s="809"/>
      <c r="H143" s="810"/>
      <c r="I143" s="808"/>
      <c r="J143" s="809"/>
      <c r="K143" s="809"/>
      <c r="L143" s="809"/>
      <c r="M143" s="809"/>
      <c r="N143" s="809"/>
      <c r="O143" s="811">
        <v>0</v>
      </c>
      <c r="P143" s="812"/>
      <c r="Q143" s="812">
        <v>0</v>
      </c>
      <c r="R143" s="807">
        <f t="shared" si="2"/>
        <v>0</v>
      </c>
      <c r="S143" s="1174"/>
    </row>
    <row r="144" spans="2:19">
      <c r="B144" s="210" t="str">
        <f>IF(COUNTA(C144)=1,MAX(B$107:B143)+1,"")</f>
        <v/>
      </c>
      <c r="C144" s="808"/>
      <c r="D144" s="809"/>
      <c r="E144" s="809"/>
      <c r="F144" s="809"/>
      <c r="G144" s="809"/>
      <c r="H144" s="810"/>
      <c r="I144" s="808"/>
      <c r="J144" s="809"/>
      <c r="K144" s="809"/>
      <c r="L144" s="809"/>
      <c r="M144" s="809"/>
      <c r="N144" s="809"/>
      <c r="O144" s="811">
        <v>0</v>
      </c>
      <c r="P144" s="812"/>
      <c r="Q144" s="812">
        <v>0</v>
      </c>
      <c r="R144" s="807">
        <f t="shared" si="2"/>
        <v>0</v>
      </c>
      <c r="S144" s="1174"/>
    </row>
    <row r="145" spans="2:19">
      <c r="B145" s="210" t="str">
        <f>IF(COUNTA(C145)=1,MAX(B$107:B144)+1,"")</f>
        <v/>
      </c>
      <c r="C145" s="808"/>
      <c r="D145" s="809"/>
      <c r="E145" s="809"/>
      <c r="F145" s="809"/>
      <c r="G145" s="809"/>
      <c r="H145" s="810"/>
      <c r="I145" s="808"/>
      <c r="J145" s="809"/>
      <c r="K145" s="809"/>
      <c r="L145" s="809"/>
      <c r="M145" s="809"/>
      <c r="N145" s="809"/>
      <c r="O145" s="811">
        <v>0</v>
      </c>
      <c r="P145" s="812"/>
      <c r="Q145" s="812">
        <v>0</v>
      </c>
      <c r="R145" s="807">
        <f t="shared" si="2"/>
        <v>0</v>
      </c>
      <c r="S145" s="1174"/>
    </row>
    <row r="146" spans="2:19">
      <c r="B146" s="210" t="str">
        <f>IF(COUNTA(C146)=1,MAX(B$107:B145)+1,"")</f>
        <v/>
      </c>
      <c r="C146" s="808"/>
      <c r="D146" s="809"/>
      <c r="E146" s="809"/>
      <c r="F146" s="809"/>
      <c r="G146" s="809"/>
      <c r="H146" s="810"/>
      <c r="I146" s="808"/>
      <c r="J146" s="809"/>
      <c r="K146" s="809"/>
      <c r="L146" s="809"/>
      <c r="M146" s="809"/>
      <c r="N146" s="809"/>
      <c r="O146" s="811">
        <v>0</v>
      </c>
      <c r="P146" s="812"/>
      <c r="Q146" s="812">
        <v>0</v>
      </c>
      <c r="R146" s="807">
        <f t="shared" si="2"/>
        <v>0</v>
      </c>
      <c r="S146" s="1174"/>
    </row>
    <row r="147" spans="2:19">
      <c r="B147" s="210" t="str">
        <f>IF(COUNTA(C147)=1,MAX(B$107:B146)+1,"")</f>
        <v/>
      </c>
      <c r="C147" s="808"/>
      <c r="D147" s="809"/>
      <c r="E147" s="809"/>
      <c r="F147" s="809"/>
      <c r="G147" s="809"/>
      <c r="H147" s="810"/>
      <c r="I147" s="808"/>
      <c r="J147" s="809"/>
      <c r="K147" s="809"/>
      <c r="L147" s="809"/>
      <c r="M147" s="809"/>
      <c r="N147" s="809"/>
      <c r="O147" s="811">
        <v>0</v>
      </c>
      <c r="P147" s="812"/>
      <c r="Q147" s="812">
        <v>0</v>
      </c>
      <c r="R147" s="807">
        <f t="shared" si="2"/>
        <v>0</v>
      </c>
      <c r="S147" s="1174"/>
    </row>
    <row r="148" spans="2:19">
      <c r="B148" s="210" t="str">
        <f>IF(COUNTA(C148)=1,MAX(B$107:B147)+1,"")</f>
        <v/>
      </c>
      <c r="C148" s="808"/>
      <c r="D148" s="809"/>
      <c r="E148" s="809"/>
      <c r="F148" s="809"/>
      <c r="G148" s="809"/>
      <c r="H148" s="810"/>
      <c r="I148" s="808"/>
      <c r="J148" s="809"/>
      <c r="K148" s="809"/>
      <c r="L148" s="809"/>
      <c r="M148" s="809"/>
      <c r="N148" s="809"/>
      <c r="O148" s="811">
        <v>0</v>
      </c>
      <c r="P148" s="812"/>
      <c r="Q148" s="812">
        <v>0</v>
      </c>
      <c r="R148" s="807">
        <f t="shared" si="2"/>
        <v>0</v>
      </c>
      <c r="S148" s="1174"/>
    </row>
    <row r="149" spans="2:19">
      <c r="B149" s="210" t="str">
        <f>IF(COUNTA(C149)=1,MAX(B$107:B148)+1,"")</f>
        <v/>
      </c>
      <c r="C149" s="808"/>
      <c r="D149" s="809"/>
      <c r="E149" s="809"/>
      <c r="F149" s="809"/>
      <c r="G149" s="809"/>
      <c r="H149" s="810"/>
      <c r="I149" s="808"/>
      <c r="J149" s="809"/>
      <c r="K149" s="809"/>
      <c r="L149" s="809"/>
      <c r="M149" s="809"/>
      <c r="N149" s="809"/>
      <c r="O149" s="811">
        <v>0</v>
      </c>
      <c r="P149" s="812"/>
      <c r="Q149" s="812">
        <v>0</v>
      </c>
      <c r="R149" s="807">
        <f t="shared" si="2"/>
        <v>0</v>
      </c>
      <c r="S149" s="1174"/>
    </row>
    <row r="150" spans="2:19">
      <c r="B150" s="210" t="str">
        <f>IF(COUNTA(C150)=1,MAX(B$107:B149)+1,"")</f>
        <v/>
      </c>
      <c r="C150" s="808"/>
      <c r="D150" s="809"/>
      <c r="E150" s="809"/>
      <c r="F150" s="809"/>
      <c r="G150" s="809"/>
      <c r="H150" s="810"/>
      <c r="I150" s="808"/>
      <c r="J150" s="809"/>
      <c r="K150" s="809"/>
      <c r="L150" s="809"/>
      <c r="M150" s="809"/>
      <c r="N150" s="809"/>
      <c r="O150" s="811">
        <v>0</v>
      </c>
      <c r="P150" s="812"/>
      <c r="Q150" s="812">
        <v>0</v>
      </c>
      <c r="R150" s="807">
        <f t="shared" si="2"/>
        <v>0</v>
      </c>
      <c r="S150" s="1174"/>
    </row>
    <row r="151" spans="2:19">
      <c r="B151" s="210" t="str">
        <f>IF(COUNTA(C151)=1,MAX(B$107:B150)+1,"")</f>
        <v/>
      </c>
      <c r="C151" s="808"/>
      <c r="D151" s="809"/>
      <c r="E151" s="809"/>
      <c r="F151" s="809"/>
      <c r="G151" s="809"/>
      <c r="H151" s="810"/>
      <c r="I151" s="808"/>
      <c r="J151" s="809"/>
      <c r="K151" s="809"/>
      <c r="L151" s="809"/>
      <c r="M151" s="809"/>
      <c r="N151" s="809"/>
      <c r="O151" s="811">
        <v>0</v>
      </c>
      <c r="P151" s="812"/>
      <c r="Q151" s="812">
        <v>0</v>
      </c>
      <c r="R151" s="807">
        <f t="shared" si="2"/>
        <v>0</v>
      </c>
      <c r="S151" s="1174"/>
    </row>
    <row r="152" spans="2:19">
      <c r="B152" s="210" t="str">
        <f>IF(COUNTA(C152)=1,MAX(B$107:B151)+1,"")</f>
        <v/>
      </c>
      <c r="C152" s="808"/>
      <c r="D152" s="809"/>
      <c r="E152" s="809"/>
      <c r="F152" s="809"/>
      <c r="G152" s="809"/>
      <c r="H152" s="810"/>
      <c r="I152" s="808"/>
      <c r="J152" s="809"/>
      <c r="K152" s="809"/>
      <c r="L152" s="809"/>
      <c r="M152" s="809"/>
      <c r="N152" s="809"/>
      <c r="O152" s="811">
        <v>0</v>
      </c>
      <c r="P152" s="812"/>
      <c r="Q152" s="812">
        <v>0</v>
      </c>
      <c r="R152" s="807">
        <f t="shared" si="2"/>
        <v>0</v>
      </c>
      <c r="S152" s="1174"/>
    </row>
    <row r="153" spans="2:19">
      <c r="B153" s="210" t="str">
        <f>IF(COUNTA(C153)=1,MAX(B$107:B152)+1,"")</f>
        <v/>
      </c>
      <c r="C153" s="808"/>
      <c r="D153" s="809"/>
      <c r="E153" s="809"/>
      <c r="F153" s="809"/>
      <c r="G153" s="809"/>
      <c r="H153" s="810"/>
      <c r="I153" s="808"/>
      <c r="J153" s="809"/>
      <c r="K153" s="809"/>
      <c r="L153" s="809"/>
      <c r="M153" s="809"/>
      <c r="N153" s="809"/>
      <c r="O153" s="811">
        <v>0</v>
      </c>
      <c r="P153" s="812"/>
      <c r="Q153" s="812">
        <v>0</v>
      </c>
      <c r="R153" s="807">
        <f t="shared" si="2"/>
        <v>0</v>
      </c>
      <c r="S153" s="1174"/>
    </row>
    <row r="154" spans="2:19">
      <c r="B154" s="210" t="str">
        <f>IF(COUNTA(C154)=1,MAX(B$107:B153)+1,"")</f>
        <v/>
      </c>
      <c r="C154" s="808"/>
      <c r="D154" s="809"/>
      <c r="E154" s="809"/>
      <c r="F154" s="809"/>
      <c r="G154" s="809"/>
      <c r="H154" s="810"/>
      <c r="I154" s="808"/>
      <c r="J154" s="809"/>
      <c r="K154" s="809"/>
      <c r="L154" s="809"/>
      <c r="M154" s="809"/>
      <c r="N154" s="809"/>
      <c r="O154" s="811">
        <v>0</v>
      </c>
      <c r="P154" s="812"/>
      <c r="Q154" s="812">
        <v>0</v>
      </c>
      <c r="R154" s="807">
        <f t="shared" si="2"/>
        <v>0</v>
      </c>
      <c r="S154" s="1174"/>
    </row>
    <row r="155" spans="2:19">
      <c r="B155" s="210" t="str">
        <f>IF(COUNTA(C155)=1,MAX(B$107:B154)+1,"")</f>
        <v/>
      </c>
      <c r="C155" s="808"/>
      <c r="D155" s="809"/>
      <c r="E155" s="809"/>
      <c r="F155" s="809"/>
      <c r="G155" s="809"/>
      <c r="H155" s="810"/>
      <c r="I155" s="808"/>
      <c r="J155" s="809"/>
      <c r="K155" s="809"/>
      <c r="L155" s="809"/>
      <c r="M155" s="809"/>
      <c r="N155" s="809"/>
      <c r="O155" s="811">
        <v>0</v>
      </c>
      <c r="P155" s="812"/>
      <c r="Q155" s="812">
        <v>0</v>
      </c>
      <c r="R155" s="807">
        <f t="shared" si="2"/>
        <v>0</v>
      </c>
      <c r="S155" s="1174"/>
    </row>
    <row r="156" spans="2:19">
      <c r="B156" s="210" t="str">
        <f>IF(COUNTA(C156)=1,MAX(B$107:B155)+1,"")</f>
        <v/>
      </c>
      <c r="C156" s="808"/>
      <c r="D156" s="809"/>
      <c r="E156" s="809"/>
      <c r="F156" s="809"/>
      <c r="G156" s="809"/>
      <c r="H156" s="810"/>
      <c r="I156" s="808"/>
      <c r="J156" s="809"/>
      <c r="K156" s="809"/>
      <c r="L156" s="809"/>
      <c r="M156" s="809"/>
      <c r="N156" s="809"/>
      <c r="O156" s="811">
        <v>0</v>
      </c>
      <c r="P156" s="812"/>
      <c r="Q156" s="812">
        <v>0</v>
      </c>
      <c r="R156" s="807">
        <f t="shared" si="2"/>
        <v>0</v>
      </c>
      <c r="S156" s="1174"/>
    </row>
  </sheetData>
  <sheetProtection algorithmName="SHA-512" hashValue="BIpgk32dmZib/XbRabIANkdDUxnUKat7D+QYXxFw0V/Z1uNj+CMpiun97DDQkywur0+KpyBSTe+Hfxpg+CLsDA==" saltValue="7G7o2RYHaTqqS3j9ub7AIw==" spinCount="100000" sheet="1" selectLockedCells="1"/>
  <mergeCells count="10">
    <mergeCell ref="P103:Q103"/>
    <mergeCell ref="P105:Q105"/>
    <mergeCell ref="P1:P2"/>
    <mergeCell ref="Q1:Q2"/>
    <mergeCell ref="D27:E27"/>
    <mergeCell ref="D28:E28"/>
    <mergeCell ref="L1:L2"/>
    <mergeCell ref="M1:M2"/>
    <mergeCell ref="N1:N2"/>
    <mergeCell ref="O1:O2"/>
  </mergeCells>
  <conditionalFormatting sqref="E21">
    <cfRule type="cellIs" dxfId="143" priority="6" stopIfTrue="1" operator="equal">
      <formula>1</formula>
    </cfRule>
  </conditionalFormatting>
  <conditionalFormatting sqref="E86">
    <cfRule type="cellIs" dxfId="142" priority="9" stopIfTrue="1" operator="equal">
      <formula>1</formula>
    </cfRule>
  </conditionalFormatting>
  <conditionalFormatting sqref="N6">
    <cfRule type="cellIs" dxfId="141" priority="5" operator="equal">
      <formula>1</formula>
    </cfRule>
  </conditionalFormatting>
  <conditionalFormatting sqref="N18">
    <cfRule type="cellIs" dxfId="140" priority="4" operator="equal">
      <formula>1</formula>
    </cfRule>
  </conditionalFormatting>
  <conditionalFormatting sqref="N22:N23">
    <cfRule type="cellIs" dxfId="139" priority="24" stopIfTrue="1" operator="equal">
      <formula>0</formula>
    </cfRule>
  </conditionalFormatting>
  <conditionalFormatting sqref="O10">
    <cfRule type="cellIs" dxfId="138" priority="11" operator="equal">
      <formula>1</formula>
    </cfRule>
  </conditionalFormatting>
  <conditionalFormatting sqref="O18 N19:O19">
    <cfRule type="cellIs" dxfId="137" priority="14" stopIfTrue="1" operator="equal">
      <formula>0</formula>
    </cfRule>
  </conditionalFormatting>
  <conditionalFormatting sqref="R107:R156">
    <cfRule type="cellIs" dxfId="136" priority="1" operator="notEqual">
      <formula>1</formula>
    </cfRule>
    <cfRule type="cellIs" dxfId="135" priority="2" operator="equal">
      <formula>1</formula>
    </cfRule>
  </conditionalFormatting>
  <conditionalFormatting sqref="S65">
    <cfRule type="cellIs" dxfId="134" priority="22" operator="equal">
      <formula>1</formula>
    </cfRule>
    <cfRule type="cellIs" dxfId="133" priority="23" operator="notEqual">
      <formula>1</formula>
    </cfRule>
  </conditionalFormatting>
  <dataValidations count="5">
    <dataValidation type="decimal" errorStyle="information" operator="lessThanOrEqual" allowBlank="1" showInputMessage="1" showErrorMessage="1" error="Bitte nur Werte bis max. 15% verwenden." prompt="Bitte nur Werte bis max. 15% verwenden." sqref="E84" xr:uid="{BAFE11D6-292C-4493-A93B-E683144C9501}">
      <formula1>0.15</formula1>
    </dataValidation>
    <dataValidation type="list" allowBlank="1" sqref="E86 E21" xr:uid="{88024059-BA52-4D90-8B92-C1C64D33098E}">
      <formula1>"ja, nein"</formula1>
    </dataValidation>
    <dataValidation type="list" allowBlank="1" showInputMessage="1" showErrorMessage="1" sqref="Q25:Q29" xr:uid="{E6783325-7E2D-4FDE-B04C-D7595BF6E244}">
      <formula1>$H$33:$O$33</formula1>
    </dataValidation>
    <dataValidation allowBlank="1" showInputMessage="1" showErrorMessage="1" prompt="Für die weitere Berechnung werden nur Werte bis max. 100% übernommen." sqref="S89" xr:uid="{50D4AA62-C424-476C-85B0-D6FC254EEB3A}"/>
    <dataValidation type="list" allowBlank="1" showInputMessage="1" showErrorMessage="1" sqref="O107:Q156" xr:uid="{A19DA153-0281-4D2B-994F-34AEDA652A0E}">
      <formula1>"0%,50%,100%"</formula1>
    </dataValidation>
  </dataValidations>
  <pageMargins left="0.59055118110236227" right="0.59055118110236227" top="0.78740157480314965" bottom="0.59055118110236227" header="0.51181102362204722" footer="0.27559055118110237"/>
  <pageSetup paperSize="9" scale="79" orientation="portrait" r:id="rId1"/>
  <headerFooter alignWithMargins="0">
    <oddFooter>&amp;C&amp;8Seite &amp;P von &amp;N</oddFooter>
  </headerFooter>
  <rowBreaks count="1" manualBreakCount="1">
    <brk id="51"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F0632-E706-4D60-9714-65F6B5092E0B}">
  <sheetPr codeName="Tabelle6">
    <tabColor theme="9" tint="-0.249977111117893"/>
  </sheetPr>
  <dimension ref="A1:X126"/>
  <sheetViews>
    <sheetView showGridLines="0" showZeros="0" zoomScale="115" zoomScaleNormal="115" zoomScaleSheetLayoutView="115" workbookViewId="0">
      <selection activeCell="B9" sqref="B9"/>
    </sheetView>
  </sheetViews>
  <sheetFormatPr baseColWidth="10" defaultColWidth="11.453125" defaultRowHeight="10"/>
  <cols>
    <col min="1" max="1" width="0.54296875" style="1" customWidth="1"/>
    <col min="2" max="2" width="9.54296875" style="1" customWidth="1"/>
    <col min="3" max="3" width="6.54296875" style="1" customWidth="1"/>
    <col min="4" max="4" width="5.54296875" style="1" customWidth="1"/>
    <col min="5" max="5" width="5.453125" style="1" customWidth="1"/>
    <col min="6" max="6" width="1.81640625" style="1" customWidth="1"/>
    <col min="7" max="7" width="1.453125" style="1" customWidth="1"/>
    <col min="8" max="9" width="7.453125" style="1" customWidth="1"/>
    <col min="10" max="10" width="7.453125" style="42" customWidth="1"/>
    <col min="11" max="11" width="7.453125" style="1" customWidth="1"/>
    <col min="12" max="12" width="7.453125" style="42" customWidth="1"/>
    <col min="13" max="13" width="7.453125" style="1" customWidth="1"/>
    <col min="14" max="15" width="7.453125" style="42" customWidth="1"/>
    <col min="16" max="16" width="8.54296875" style="42" customWidth="1"/>
    <col min="17" max="17" width="7.453125" style="42" customWidth="1"/>
    <col min="18" max="18" width="0.81640625" style="42" customWidth="1"/>
    <col min="19" max="19" width="7.453125" style="42" customWidth="1"/>
    <col min="20" max="20" width="1.1796875" style="1" customWidth="1"/>
    <col min="21" max="21" width="7.1796875" style="202" customWidth="1"/>
    <col min="22" max="24" width="7.26953125" style="202" customWidth="1"/>
    <col min="25" max="16384" width="11.453125" style="1"/>
  </cols>
  <sheetData>
    <row r="1" spans="1:24" ht="13" customHeight="1">
      <c r="A1" s="7"/>
      <c r="B1" s="8"/>
      <c r="C1" s="8"/>
      <c r="D1" s="8"/>
      <c r="E1" s="8"/>
      <c r="F1" s="9"/>
      <c r="H1" s="214"/>
      <c r="I1" s="216"/>
      <c r="J1" s="108"/>
      <c r="K1" s="9"/>
      <c r="L1" s="1364" t="s">
        <v>57</v>
      </c>
      <c r="M1" s="1364" t="s">
        <v>108</v>
      </c>
      <c r="N1" s="1364" t="s">
        <v>126</v>
      </c>
      <c r="O1" s="1364" t="s">
        <v>58</v>
      </c>
      <c r="P1" s="1356" t="s">
        <v>11</v>
      </c>
      <c r="Q1" s="1358" t="s">
        <v>113</v>
      </c>
      <c r="R1" s="341"/>
      <c r="S1" s="332"/>
    </row>
    <row r="2" spans="1:24" ht="38.15" customHeight="1">
      <c r="A2" s="13"/>
      <c r="B2" s="2" t="s">
        <v>24</v>
      </c>
      <c r="C2" s="96"/>
      <c r="D2" s="96"/>
      <c r="E2" s="96"/>
      <c r="F2" s="97"/>
      <c r="H2" s="210" t="s">
        <v>111</v>
      </c>
      <c r="I2" s="3"/>
      <c r="J2" s="49"/>
      <c r="K2" s="14"/>
      <c r="L2" s="1365"/>
      <c r="M2" s="1365"/>
      <c r="N2" s="1365"/>
      <c r="O2" s="1365"/>
      <c r="P2" s="1357"/>
      <c r="Q2" s="1359"/>
      <c r="R2" s="341"/>
      <c r="S2" s="332"/>
      <c r="V2" s="12" t="s">
        <v>863</v>
      </c>
    </row>
    <row r="3" spans="1:24" ht="3" customHeight="1">
      <c r="A3" s="98"/>
      <c r="B3" s="99"/>
      <c r="C3" s="99"/>
      <c r="D3" s="99"/>
      <c r="E3" s="99"/>
      <c r="F3" s="100"/>
      <c r="H3" s="215"/>
      <c r="I3" s="217"/>
      <c r="J3" s="218"/>
      <c r="K3" s="100"/>
      <c r="L3" s="4"/>
      <c r="M3" s="4"/>
      <c r="N3" s="4"/>
      <c r="O3" s="4"/>
      <c r="P3" s="5"/>
      <c r="Q3" s="6"/>
      <c r="R3" s="333"/>
      <c r="S3" s="333"/>
    </row>
    <row r="4" spans="1:24">
      <c r="A4" s="2"/>
      <c r="B4" s="2"/>
      <c r="C4" s="2"/>
      <c r="D4" s="2"/>
      <c r="E4" s="2"/>
      <c r="F4" s="2"/>
      <c r="H4" s="3"/>
      <c r="I4" s="3"/>
      <c r="K4" s="10"/>
      <c r="L4" s="11"/>
      <c r="M4" s="3"/>
      <c r="N4" s="11"/>
      <c r="O4" s="11"/>
      <c r="P4" s="11"/>
      <c r="Q4" s="12"/>
      <c r="R4" s="12"/>
      <c r="S4" s="12"/>
    </row>
    <row r="5" spans="1:24" ht="11.25" customHeight="1">
      <c r="A5" s="7"/>
      <c r="B5" s="8"/>
      <c r="C5" s="8"/>
      <c r="D5" s="8"/>
      <c r="E5" s="8"/>
      <c r="F5" s="9"/>
      <c r="H5" s="15" t="s">
        <v>87</v>
      </c>
      <c r="I5" s="3"/>
      <c r="K5" s="10"/>
      <c r="L5" s="11"/>
      <c r="M5" s="3"/>
      <c r="N5" s="11"/>
      <c r="O5" s="11"/>
      <c r="P5" s="11"/>
      <c r="Q5" s="12"/>
      <c r="R5" s="12"/>
      <c r="S5" s="12"/>
      <c r="V5" s="1225"/>
      <c r="W5" s="1226"/>
      <c r="X5" s="1227"/>
    </row>
    <row r="6" spans="1:24" s="19" customFormat="1" ht="11.5" customHeight="1">
      <c r="A6" s="16"/>
      <c r="B6" s="24"/>
      <c r="C6" s="17"/>
      <c r="D6" s="17"/>
      <c r="E6" s="17"/>
      <c r="F6" s="18"/>
      <c r="H6" s="203" t="s">
        <v>0</v>
      </c>
      <c r="I6" s="17"/>
      <c r="L6" s="339">
        <f>IF(E15&gt;0,E15,0)</f>
        <v>0</v>
      </c>
      <c r="M6" s="20">
        <f>IF(E15&gt;0,'HAW-Kennwerte'!C10,0)</f>
        <v>0</v>
      </c>
      <c r="N6" s="205">
        <f>IF(L6&gt;0,IF(E21="ja",'HAW-Kennwerte'!D10,1),0)</f>
        <v>0</v>
      </c>
      <c r="O6" s="22"/>
      <c r="P6" s="23">
        <f>L6*M6*N6</f>
        <v>0</v>
      </c>
      <c r="Q6" s="328">
        <f>IF(P6&gt;0,'HAW-Kennwerte'!Z9,0)</f>
        <v>0</v>
      </c>
      <c r="R6" s="328"/>
      <c r="S6" s="328"/>
      <c r="U6" s="203"/>
      <c r="V6" s="1200"/>
      <c r="W6" s="1201"/>
      <c r="X6" s="1202"/>
    </row>
    <row r="7" spans="1:24" s="19" customFormat="1" ht="11.5" customHeight="1">
      <c r="A7" s="16"/>
      <c r="B7" s="928" t="str">
        <f>HAW!B4</f>
        <v>Hochschule …</v>
      </c>
      <c r="C7" s="928"/>
      <c r="D7" s="928"/>
      <c r="E7" s="928"/>
      <c r="F7" s="18"/>
      <c r="H7" s="203" t="s">
        <v>1</v>
      </c>
      <c r="I7" s="17"/>
      <c r="L7" s="340">
        <f>IF(E15-E16&lt;0,0,IF(E23&gt;E16,0,E23))</f>
        <v>0</v>
      </c>
      <c r="M7" s="20">
        <f>IF(L7&gt;0,'HAW-Kennwerte'!K10,0)</f>
        <v>0</v>
      </c>
      <c r="N7" s="25"/>
      <c r="O7" s="22"/>
      <c r="P7" s="27">
        <f>IFERROR(L7*M7,"")</f>
        <v>0</v>
      </c>
      <c r="Q7" s="329">
        <f>IF(P7&gt;0,'HAW-Kennwerte'!AA10,0)</f>
        <v>0</v>
      </c>
      <c r="R7" s="329"/>
      <c r="S7" s="329"/>
      <c r="U7" s="203"/>
      <c r="V7" s="1200"/>
      <c r="W7" s="1201"/>
      <c r="X7" s="1202"/>
    </row>
    <row r="8" spans="1:24" s="19" customFormat="1" ht="11.5" customHeight="1">
      <c r="A8" s="16"/>
      <c r="B8" s="473">
        <f>HAW!B5</f>
        <v>0</v>
      </c>
      <c r="F8" s="18"/>
      <c r="H8" s="203" t="s">
        <v>86</v>
      </c>
      <c r="I8" s="17"/>
      <c r="L8" s="29"/>
      <c r="M8" s="20"/>
      <c r="N8" s="21"/>
      <c r="O8" s="22"/>
      <c r="P8" s="52"/>
      <c r="Q8" s="329"/>
      <c r="R8" s="329"/>
      <c r="S8" s="329"/>
      <c r="U8" s="203"/>
      <c r="V8" s="1228"/>
      <c r="W8" s="1229"/>
      <c r="X8" s="1230"/>
    </row>
    <row r="9" spans="1:24" s="19" customFormat="1" ht="11.5" customHeight="1">
      <c r="A9" s="16"/>
      <c r="B9" s="346" t="s">
        <v>93</v>
      </c>
      <c r="C9" s="347"/>
      <c r="D9" s="347"/>
      <c r="E9" s="347"/>
      <c r="F9" s="18"/>
      <c r="H9" s="203" t="s">
        <v>159</v>
      </c>
      <c r="I9" s="17"/>
      <c r="L9" s="339"/>
      <c r="M9" s="30"/>
      <c r="N9" s="21"/>
      <c r="O9" s="22"/>
      <c r="P9" s="52"/>
      <c r="Q9" s="329"/>
      <c r="R9" s="329"/>
      <c r="S9" s="329"/>
      <c r="U9" s="203"/>
      <c r="V9" s="1228"/>
      <c r="W9" s="1229"/>
      <c r="X9" s="1230"/>
    </row>
    <row r="10" spans="1:24" s="19" customFormat="1" ht="11.5" customHeight="1">
      <c r="A10" s="16"/>
      <c r="B10" s="346" t="s">
        <v>92</v>
      </c>
      <c r="C10" s="348"/>
      <c r="D10" s="348"/>
      <c r="E10" s="348"/>
      <c r="F10" s="18"/>
      <c r="H10" s="204" t="s">
        <v>19</v>
      </c>
      <c r="I10" s="17"/>
      <c r="L10" s="765">
        <f>IF(SUM($E$17:$E$18)&gt;0,$S$84,0)</f>
        <v>0</v>
      </c>
      <c r="M10" s="30">
        <f>IF($L$10&gt;0,'HAW-Kennwerte'!R10,0)</f>
        <v>0</v>
      </c>
      <c r="N10" s="205">
        <f>IF(L10&gt;0,E19,0)</f>
        <v>0</v>
      </c>
      <c r="O10" s="26">
        <f>IF(E84&gt;0.15,0,IFERROR((M10+M10*0.9*E84*0.4)/M10,0))</f>
        <v>0</v>
      </c>
      <c r="P10" s="27">
        <f>L10*N10*(M10*O10+IF(E86="ja",'HAW-Kennwerte'!$R$29,0))</f>
        <v>0</v>
      </c>
      <c r="Q10" s="329"/>
      <c r="R10" s="329"/>
      <c r="S10" s="329"/>
      <c r="U10" s="203"/>
      <c r="V10" s="1200"/>
      <c r="W10" s="1201"/>
      <c r="X10" s="1202"/>
    </row>
    <row r="11" spans="1:24" s="19" customFormat="1" ht="11.5" customHeight="1">
      <c r="A11" s="16"/>
      <c r="B11" s="56"/>
      <c r="C11" s="56"/>
      <c r="D11" s="56"/>
      <c r="E11" s="56"/>
      <c r="F11" s="18"/>
      <c r="H11" s="204" t="s">
        <v>91</v>
      </c>
      <c r="I11" s="17"/>
      <c r="L11" s="765">
        <f>IF(SUM($E$17:$E$18)&gt;0,SUM($E$17:$E$18),0)</f>
        <v>0</v>
      </c>
      <c r="M11" s="249">
        <f>IF($L$11&gt;0,'HAW-Kennwerte'!S9,0)</f>
        <v>0</v>
      </c>
      <c r="N11" s="205">
        <f>IF(L11&gt;0,E19,0)</f>
        <v>0</v>
      </c>
      <c r="O11" s="22"/>
      <c r="P11" s="31">
        <f>L11*M11*N11</f>
        <v>0</v>
      </c>
      <c r="Q11" s="329"/>
      <c r="R11" s="329"/>
      <c r="S11" s="329"/>
      <c r="U11" s="203"/>
      <c r="V11" s="1200"/>
      <c r="W11" s="1201"/>
      <c r="X11" s="1202"/>
    </row>
    <row r="12" spans="1:24" s="19" customFormat="1" ht="11.5" customHeight="1">
      <c r="A12" s="16"/>
      <c r="B12" s="24" t="s">
        <v>8</v>
      </c>
      <c r="F12" s="18"/>
      <c r="H12" s="204" t="s">
        <v>109</v>
      </c>
      <c r="I12" s="17"/>
      <c r="L12" s="766">
        <f>IF($E$17&gt;0,$E$17,0)</f>
        <v>0</v>
      </c>
      <c r="M12" s="30">
        <f>IF($L$12&gt;0,'HAW-Kennwerte'!U10,0)</f>
        <v>0</v>
      </c>
      <c r="N12" s="205">
        <f>IF(L12&gt;0,IF(E19=0,0,IF(E19&lt;0.7,0.7,E19)),0)</f>
        <v>0</v>
      </c>
      <c r="O12" s="26"/>
      <c r="P12" s="31">
        <f>L12*M12*N12</f>
        <v>0</v>
      </c>
      <c r="Q12" s="329">
        <f>IF(P12&gt;0,'HAW-Kennwerte'!AA10,0)</f>
        <v>0</v>
      </c>
      <c r="R12" s="329"/>
      <c r="S12" s="329"/>
      <c r="U12" s="203"/>
      <c r="V12" s="1200"/>
      <c r="W12" s="1201"/>
      <c r="X12" s="1202"/>
    </row>
    <row r="13" spans="1:24" s="19" customFormat="1" ht="11.5" customHeight="1">
      <c r="A13" s="16"/>
      <c r="B13" s="56" t="s">
        <v>3</v>
      </c>
      <c r="F13" s="18"/>
      <c r="H13" s="204" t="s">
        <v>110</v>
      </c>
      <c r="I13" s="17"/>
      <c r="L13" s="766">
        <f>IF($E$18&gt;0,$E$18,0)</f>
        <v>0</v>
      </c>
      <c r="M13" s="30">
        <f>IF(L13&gt;0,'HAW-Kennwerte'!X10,0)</f>
        <v>0</v>
      </c>
      <c r="N13" s="205">
        <f>IF(L13&gt;0,IF(E19=0,0,IF(E19&lt;0.7,0.7,E19)),0)</f>
        <v>0</v>
      </c>
      <c r="O13" s="22"/>
      <c r="P13" s="31">
        <f>L13*M13*N13</f>
        <v>0</v>
      </c>
      <c r="Q13" s="329">
        <f>IF(P13&gt;0,'HAW-Kennwerte'!AA10,0)</f>
        <v>0</v>
      </c>
      <c r="R13" s="329"/>
      <c r="S13" s="329"/>
      <c r="U13" s="203"/>
      <c r="V13" s="1200"/>
      <c r="W13" s="1201"/>
      <c r="X13" s="1202"/>
    </row>
    <row r="14" spans="1:24" s="19" customFormat="1" ht="11.5" customHeight="1">
      <c r="A14" s="16"/>
      <c r="B14" s="473"/>
      <c r="C14" s="56"/>
      <c r="F14" s="18"/>
      <c r="H14" s="203" t="s">
        <v>20</v>
      </c>
      <c r="I14" s="17"/>
      <c r="K14" s="112"/>
      <c r="L14" s="32"/>
      <c r="M14" s="17"/>
      <c r="N14" s="32"/>
      <c r="O14" s="33"/>
      <c r="P14" s="34">
        <f>SUMPRODUCT(P6:P13,Q6:Q13)</f>
        <v>0</v>
      </c>
      <c r="Q14" s="330"/>
      <c r="R14" s="330"/>
      <c r="S14" s="330"/>
      <c r="U14" s="203"/>
      <c r="V14" s="1200"/>
      <c r="W14" s="1201"/>
      <c r="X14" s="1202"/>
    </row>
    <row r="15" spans="1:24" s="19" customFormat="1" ht="10.5">
      <c r="A15" s="16"/>
      <c r="B15" s="17"/>
      <c r="C15" s="17"/>
      <c r="D15" s="246" t="s">
        <v>73</v>
      </c>
      <c r="E15" s="349"/>
      <c r="F15" s="18"/>
      <c r="H15" s="17"/>
      <c r="I15" s="17"/>
      <c r="K15" s="35"/>
      <c r="L15" s="36"/>
      <c r="M15" s="17"/>
      <c r="N15" s="35"/>
      <c r="O15" s="35"/>
      <c r="P15" s="38">
        <f>SUM(P6:P14)</f>
        <v>0</v>
      </c>
      <c r="Q15" s="330"/>
      <c r="R15" s="330"/>
      <c r="S15" s="330"/>
      <c r="U15" s="203"/>
      <c r="V15" s="1228"/>
      <c r="W15" s="1229"/>
      <c r="X15" s="1230"/>
    </row>
    <row r="16" spans="1:24" s="19" customFormat="1" ht="11.25" customHeight="1">
      <c r="A16" s="16"/>
      <c r="B16" s="17"/>
      <c r="D16" s="223" t="s">
        <v>75</v>
      </c>
      <c r="E16" s="349"/>
      <c r="F16" s="18"/>
      <c r="H16" s="17"/>
      <c r="I16" s="17"/>
      <c r="K16" s="35"/>
      <c r="L16" s="36"/>
      <c r="M16" s="17"/>
      <c r="N16" s="35"/>
      <c r="O16" s="35"/>
      <c r="Q16" s="330"/>
      <c r="R16" s="330"/>
      <c r="S16" s="330"/>
      <c r="U16" s="203"/>
      <c r="V16" s="1228"/>
      <c r="W16" s="1229"/>
      <c r="X16" s="1230"/>
    </row>
    <row r="17" spans="1:24" s="19" customFormat="1">
      <c r="A17" s="16"/>
      <c r="B17" s="17"/>
      <c r="C17" s="17"/>
      <c r="D17" s="223" t="s">
        <v>185</v>
      </c>
      <c r="E17" s="764">
        <f>L84</f>
        <v>0</v>
      </c>
      <c r="F17" s="18"/>
      <c r="H17" s="24" t="s">
        <v>12</v>
      </c>
      <c r="I17" s="17"/>
      <c r="K17" s="35"/>
      <c r="L17" s="36"/>
      <c r="M17" s="17"/>
      <c r="N17" s="35"/>
      <c r="O17" s="35"/>
      <c r="P17" s="37"/>
      <c r="Q17" s="330"/>
      <c r="R17" s="330"/>
      <c r="S17" s="330"/>
      <c r="U17" s="203"/>
      <c r="V17" s="1228"/>
      <c r="W17" s="1229"/>
      <c r="X17" s="1230"/>
    </row>
    <row r="18" spans="1:24" s="19" customFormat="1" ht="11.5" customHeight="1">
      <c r="A18" s="16"/>
      <c r="B18" s="17"/>
      <c r="C18" s="17"/>
      <c r="D18" s="223" t="s">
        <v>186</v>
      </c>
      <c r="E18" s="764">
        <f>Q84</f>
        <v>0</v>
      </c>
      <c r="F18" s="18"/>
      <c r="H18" s="203" t="s">
        <v>0</v>
      </c>
      <c r="I18" s="17"/>
      <c r="L18" s="39">
        <f>E20/100</f>
        <v>0</v>
      </c>
      <c r="M18" s="30">
        <f>IF(N46=0,IF(E20&gt;0,'HAW-Kennwerte'!F10,0),'HAW-Kennwerte'!E10*81600/N46)</f>
        <v>0</v>
      </c>
      <c r="N18" s="205">
        <f>IF(L18&gt;0,IF(E21="ja",'HAW-Kennwerte'!G10,1),0)</f>
        <v>0</v>
      </c>
      <c r="O18" s="205"/>
      <c r="P18" s="23">
        <f>L18*M18*N18</f>
        <v>0</v>
      </c>
      <c r="Q18" s="328">
        <f>IF(P18&gt;0,Q6,0)</f>
        <v>0</v>
      </c>
      <c r="R18" s="328"/>
      <c r="S18" s="328"/>
      <c r="U18" s="203"/>
      <c r="V18" s="1200"/>
      <c r="W18" s="1201"/>
      <c r="X18" s="1202"/>
    </row>
    <row r="19" spans="1:24" s="19" customFormat="1" ht="11.5" customHeight="1">
      <c r="A19" s="16"/>
      <c r="B19" s="17"/>
      <c r="C19" s="17"/>
      <c r="D19" s="53" t="s">
        <v>27</v>
      </c>
      <c r="E19" s="688">
        <f>S88</f>
        <v>0</v>
      </c>
      <c r="F19" s="18"/>
      <c r="H19" s="203" t="s">
        <v>1</v>
      </c>
      <c r="I19" s="17"/>
      <c r="L19" s="39"/>
      <c r="M19" s="30"/>
      <c r="N19" s="25"/>
      <c r="O19" s="25"/>
      <c r="P19" s="52">
        <f>L19*M19</f>
        <v>0</v>
      </c>
      <c r="Q19" s="329"/>
      <c r="R19" s="329"/>
      <c r="S19" s="329"/>
      <c r="U19" s="203"/>
      <c r="V19" s="1200"/>
      <c r="W19" s="1201"/>
      <c r="X19" s="1202"/>
    </row>
    <row r="20" spans="1:24" s="19" customFormat="1" ht="11.5" customHeight="1">
      <c r="A20" s="16"/>
      <c r="B20" s="17"/>
      <c r="C20" s="17"/>
      <c r="D20" s="53" t="s">
        <v>28</v>
      </c>
      <c r="E20" s="55">
        <f>H47</f>
        <v>0</v>
      </c>
      <c r="F20" s="18"/>
      <c r="H20" s="203" t="s">
        <v>159</v>
      </c>
      <c r="I20" s="17"/>
      <c r="L20" s="39"/>
      <c r="M20" s="249"/>
      <c r="N20" s="21"/>
      <c r="O20" s="25"/>
      <c r="P20" s="52"/>
      <c r="Q20" s="329"/>
      <c r="R20" s="329"/>
      <c r="S20" s="329"/>
      <c r="U20" s="203"/>
      <c r="V20" s="1228"/>
      <c r="W20" s="1229"/>
      <c r="X20" s="1230"/>
    </row>
    <row r="21" spans="1:24" s="19" customFormat="1" ht="11.5" customHeight="1">
      <c r="A21" s="16"/>
      <c r="B21" s="17"/>
      <c r="C21" s="17"/>
      <c r="D21" s="223" t="s">
        <v>247</v>
      </c>
      <c r="E21" s="793" t="s">
        <v>248</v>
      </c>
      <c r="F21" s="18"/>
      <c r="H21" s="203" t="s">
        <v>20</v>
      </c>
      <c r="I21" s="17"/>
      <c r="P21" s="34">
        <f>SUMPRODUCT(P18:P20,Q18:Q20)</f>
        <v>0</v>
      </c>
      <c r="Q21" s="329"/>
      <c r="R21" s="329"/>
      <c r="S21" s="329"/>
      <c r="U21" s="203"/>
      <c r="V21" s="1200"/>
      <c r="W21" s="1201"/>
      <c r="X21" s="1202"/>
    </row>
    <row r="22" spans="1:24" s="19" customFormat="1" ht="11.5" customHeight="1">
      <c r="A22" s="16"/>
      <c r="B22" s="17"/>
      <c r="C22" s="2"/>
      <c r="F22" s="18"/>
      <c r="I22" s="17"/>
      <c r="K22" s="17"/>
      <c r="L22" s="213"/>
      <c r="M22" s="17"/>
      <c r="N22" s="112"/>
      <c r="O22" s="212"/>
      <c r="P22" s="38">
        <f>SUM(P18:P21)</f>
        <v>0</v>
      </c>
      <c r="Q22" s="28"/>
      <c r="R22" s="28"/>
      <c r="S22" s="28"/>
      <c r="U22" s="203"/>
      <c r="V22" s="1228"/>
      <c r="W22" s="1229"/>
      <c r="X22" s="1230"/>
    </row>
    <row r="23" spans="1:24" s="19" customFormat="1" ht="11.5" customHeight="1">
      <c r="A23" s="16"/>
      <c r="B23" s="17"/>
      <c r="C23" s="17"/>
      <c r="D23" s="223" t="s">
        <v>843</v>
      </c>
      <c r="E23" s="349">
        <f>P103</f>
        <v>0</v>
      </c>
      <c r="F23" s="18"/>
      <c r="I23" s="17"/>
      <c r="J23" s="112"/>
      <c r="K23" s="17"/>
      <c r="L23" s="44"/>
      <c r="M23" s="17"/>
      <c r="N23" s="112"/>
      <c r="O23" s="212"/>
      <c r="R23" s="40"/>
      <c r="S23" s="40"/>
      <c r="U23" s="203"/>
      <c r="V23" s="1228"/>
      <c r="W23" s="1229"/>
      <c r="X23" s="1230"/>
    </row>
    <row r="24" spans="1:24" ht="12.65" customHeight="1">
      <c r="A24" s="13"/>
      <c r="B24" s="2"/>
      <c r="C24" s="17"/>
      <c r="D24" s="223"/>
      <c r="E24" s="51"/>
      <c r="F24" s="14"/>
      <c r="I24" s="24" t="s">
        <v>15</v>
      </c>
      <c r="K24" s="17"/>
      <c r="L24" s="41"/>
      <c r="M24" s="2"/>
      <c r="P24" s="43"/>
      <c r="Q24" s="1186" t="s">
        <v>789</v>
      </c>
      <c r="R24" s="12"/>
      <c r="S24" s="12"/>
      <c r="V24" s="1231"/>
      <c r="W24" s="1232"/>
      <c r="X24" s="1174"/>
    </row>
    <row r="25" spans="1:24" ht="11.15" customHeight="1">
      <c r="A25" s="13"/>
      <c r="B25" s="2"/>
      <c r="D25" s="53"/>
      <c r="E25" s="51"/>
      <c r="F25" s="14"/>
      <c r="I25" s="1167" t="s">
        <v>293</v>
      </c>
      <c r="J25" s="359"/>
      <c r="K25" s="359"/>
      <c r="L25" s="360"/>
      <c r="M25" s="361"/>
      <c r="N25" s="362"/>
      <c r="P25" s="351"/>
      <c r="Q25" s="718"/>
      <c r="R25" s="788"/>
      <c r="S25" s="788"/>
      <c r="V25" s="1231"/>
      <c r="W25" s="1232"/>
      <c r="X25" s="1174"/>
    </row>
    <row r="26" spans="1:24">
      <c r="A26" s="13"/>
      <c r="B26" s="2"/>
      <c r="C26" s="2"/>
      <c r="D26" s="2"/>
      <c r="E26" s="2"/>
      <c r="F26" s="14"/>
      <c r="I26" s="1168"/>
      <c r="J26" s="363"/>
      <c r="K26" s="363"/>
      <c r="L26" s="364"/>
      <c r="M26" s="363"/>
      <c r="N26" s="365"/>
      <c r="P26" s="352"/>
      <c r="Q26" s="718"/>
      <c r="R26" s="788"/>
      <c r="S26" s="788"/>
      <c r="V26" s="1231"/>
      <c r="W26" s="1232"/>
      <c r="X26" s="1174"/>
    </row>
    <row r="27" spans="1:24" s="19" customFormat="1" ht="11.5" customHeight="1">
      <c r="A27" s="16"/>
      <c r="B27" s="17"/>
      <c r="C27" s="53" t="s">
        <v>29</v>
      </c>
      <c r="D27" s="1360">
        <f>HAW!D24</f>
        <v>0</v>
      </c>
      <c r="E27" s="1361"/>
      <c r="F27" s="18"/>
      <c r="I27" s="1168"/>
      <c r="J27" s="366"/>
      <c r="K27" s="366"/>
      <c r="L27" s="366"/>
      <c r="M27" s="366"/>
      <c r="N27" s="367"/>
      <c r="O27" s="35"/>
      <c r="P27" s="352"/>
      <c r="Q27" s="719"/>
      <c r="R27" s="789"/>
      <c r="S27" s="789"/>
      <c r="U27" s="203"/>
      <c r="V27" s="1228"/>
      <c r="W27" s="1229"/>
      <c r="X27" s="1230"/>
    </row>
    <row r="28" spans="1:24" s="19" customFormat="1" ht="11.5" customHeight="1">
      <c r="A28" s="16"/>
      <c r="B28" s="17"/>
      <c r="C28" s="53" t="s">
        <v>30</v>
      </c>
      <c r="D28" s="1362">
        <f>HAW!D25</f>
        <v>0</v>
      </c>
      <c r="E28" s="1363"/>
      <c r="F28" s="18"/>
      <c r="I28" s="1168"/>
      <c r="J28" s="366"/>
      <c r="K28" s="366"/>
      <c r="L28" s="366"/>
      <c r="M28" s="366"/>
      <c r="N28" s="366"/>
      <c r="P28" s="352"/>
      <c r="Q28" s="719"/>
      <c r="R28" s="789"/>
      <c r="S28" s="789"/>
      <c r="U28" s="203"/>
      <c r="V28" s="1228"/>
      <c r="W28" s="1229"/>
      <c r="X28" s="1230"/>
    </row>
    <row r="29" spans="1:24" s="19" customFormat="1" ht="11.5" customHeight="1">
      <c r="A29" s="102"/>
      <c r="B29" s="103"/>
      <c r="C29" s="103"/>
      <c r="D29" s="103"/>
      <c r="E29" s="103"/>
      <c r="F29" s="104"/>
      <c r="I29" s="1168"/>
      <c r="J29" s="366"/>
      <c r="K29" s="366"/>
      <c r="L29" s="366"/>
      <c r="M29" s="366"/>
      <c r="N29" s="366"/>
      <c r="P29" s="353"/>
      <c r="Q29" s="719"/>
      <c r="R29" s="789"/>
      <c r="S29" s="789"/>
      <c r="U29" s="203"/>
      <c r="V29" s="1228"/>
      <c r="W29" s="1229"/>
      <c r="X29" s="1230"/>
    </row>
    <row r="30" spans="1:24" s="19" customFormat="1" ht="11.25" customHeight="1">
      <c r="A30" s="17"/>
      <c r="I30" s="17"/>
      <c r="P30" s="38">
        <f>SUM(P25:P29)</f>
        <v>0</v>
      </c>
      <c r="Q30" s="40"/>
      <c r="R30" s="40"/>
      <c r="S30" s="40"/>
      <c r="U30" s="203"/>
      <c r="V30" s="1228"/>
      <c r="W30" s="1229"/>
      <c r="X30" s="1230"/>
    </row>
    <row r="31" spans="1:24" ht="11.25" customHeight="1">
      <c r="A31" s="2"/>
      <c r="B31" s="2"/>
      <c r="C31" s="2"/>
      <c r="H31" s="106"/>
      <c r="I31" s="224"/>
      <c r="J31" s="225"/>
      <c r="K31" s="224"/>
      <c r="L31" s="226"/>
      <c r="M31" s="225"/>
      <c r="N31" s="107"/>
      <c r="O31" s="107"/>
      <c r="P31" s="227"/>
      <c r="Q31" s="50"/>
      <c r="R31" s="50"/>
      <c r="S31" s="50"/>
      <c r="V31" s="1231"/>
      <c r="W31" s="1232"/>
      <c r="X31" s="1174"/>
    </row>
    <row r="32" spans="1:24" ht="11.25" customHeight="1">
      <c r="A32" s="2"/>
      <c r="B32" s="2"/>
      <c r="C32" s="2"/>
      <c r="I32" s="47"/>
      <c r="J32" s="24"/>
      <c r="K32" s="47"/>
      <c r="L32" s="48"/>
      <c r="M32" s="24"/>
      <c r="N32" s="49"/>
      <c r="O32" s="49"/>
      <c r="P32" s="50"/>
      <c r="Q32" s="50"/>
      <c r="R32" s="50"/>
      <c r="S32" s="50"/>
      <c r="V32" s="1231"/>
      <c r="W32" s="1232"/>
      <c r="X32" s="1174"/>
    </row>
    <row r="33" spans="1:24" ht="50.15" customHeight="1" thickBot="1">
      <c r="A33" s="2"/>
      <c r="B33" s="2"/>
      <c r="C33" s="2"/>
      <c r="D33" s="2"/>
      <c r="F33" s="219" t="s">
        <v>16</v>
      </c>
      <c r="G33" s="2"/>
      <c r="H33" s="220" t="s">
        <v>0</v>
      </c>
      <c r="I33" s="220" t="s">
        <v>1</v>
      </c>
      <c r="J33" s="221" t="s">
        <v>197</v>
      </c>
      <c r="K33" s="221" t="s">
        <v>159</v>
      </c>
      <c r="L33" s="221" t="s">
        <v>198</v>
      </c>
      <c r="M33" s="221" t="s">
        <v>22</v>
      </c>
      <c r="N33" s="220" t="s">
        <v>20</v>
      </c>
      <c r="O33" s="221" t="s">
        <v>199</v>
      </c>
      <c r="T33" s="77"/>
      <c r="V33" s="1231"/>
      <c r="W33" s="1232"/>
      <c r="X33" s="1174"/>
    </row>
    <row r="34" spans="1:24" ht="17.149999999999999" customHeight="1" thickBot="1">
      <c r="B34" s="2"/>
      <c r="C34" s="2"/>
      <c r="D34" s="2"/>
      <c r="G34" s="2"/>
      <c r="H34" s="222">
        <f>P6+P18+SUMIF(Q25:Q29,H33,P25:P29)</f>
        <v>0</v>
      </c>
      <c r="I34" s="222">
        <f>IFERROR(P7+P19+SUMIF(Q25:Q29,I33,P25:P29),"")</f>
        <v>0</v>
      </c>
      <c r="J34" s="422"/>
      <c r="K34" s="422"/>
      <c r="L34" s="222">
        <f>P10+P11+SUMIF(Q25:Q29,L33,P25:P29)</f>
        <v>0</v>
      </c>
      <c r="M34" s="222">
        <f>P12+P13+SUMIF(Q25:Q29,M33,P25:P29)</f>
        <v>0</v>
      </c>
      <c r="N34" s="222">
        <f>P14+P21+SUMIF(Q25:Q29,N33,P25:P29)</f>
        <v>0</v>
      </c>
      <c r="O34" s="222">
        <f>SUMIF(Q25:Q29,O33,P25:P29)</f>
        <v>0</v>
      </c>
      <c r="P34" s="331">
        <f>SUM(H34:O34)</f>
        <v>0</v>
      </c>
      <c r="Q34" s="101"/>
      <c r="R34" s="101"/>
      <c r="S34" s="101"/>
      <c r="T34" s="77"/>
      <c r="V34" s="1231"/>
      <c r="W34" s="1232"/>
      <c r="X34" s="1174"/>
    </row>
    <row r="35" spans="1:24">
      <c r="A35" s="106"/>
      <c r="B35" s="105"/>
      <c r="C35" s="46"/>
      <c r="D35" s="46"/>
      <c r="E35" s="46"/>
      <c r="F35" s="46"/>
      <c r="G35" s="106"/>
      <c r="H35" s="106"/>
      <c r="I35" s="106"/>
      <c r="J35" s="107"/>
      <c r="K35" s="106"/>
      <c r="L35" s="107"/>
      <c r="M35" s="106"/>
      <c r="N35" s="107"/>
      <c r="O35" s="107"/>
      <c r="P35" s="107"/>
      <c r="Q35" s="107"/>
      <c r="R35" s="49"/>
      <c r="S35" s="49"/>
      <c r="T35" s="77"/>
      <c r="V35" s="1231"/>
      <c r="W35" s="1232"/>
      <c r="X35" s="1174"/>
    </row>
    <row r="36" spans="1:24">
      <c r="S36" s="49"/>
      <c r="T36" s="77"/>
      <c r="V36" s="1231"/>
      <c r="W36" s="1232"/>
      <c r="X36" s="1174"/>
    </row>
    <row r="37" spans="1:24">
      <c r="A37" s="7"/>
      <c r="B37" s="8"/>
      <c r="C37" s="8"/>
      <c r="D37" s="8"/>
      <c r="E37" s="8"/>
      <c r="F37" s="8"/>
      <c r="G37" s="8"/>
      <c r="H37" s="8"/>
      <c r="I37" s="8"/>
      <c r="J37" s="8"/>
      <c r="K37" s="8"/>
      <c r="L37" s="8"/>
      <c r="M37" s="8"/>
      <c r="N37" s="108"/>
      <c r="O37" s="108"/>
      <c r="P37" s="109"/>
      <c r="S37" s="49"/>
      <c r="T37" s="77"/>
      <c r="V37" s="1231"/>
      <c r="W37" s="1232"/>
      <c r="X37" s="1174"/>
    </row>
    <row r="38" spans="1:24" ht="10.5">
      <c r="A38" s="13"/>
      <c r="E38" s="110" t="s">
        <v>70</v>
      </c>
      <c r="F38" s="2"/>
      <c r="G38" s="2"/>
      <c r="H38" s="2"/>
      <c r="I38" s="2"/>
      <c r="J38" s="2"/>
      <c r="K38" s="238" t="s">
        <v>69</v>
      </c>
      <c r="M38" s="2"/>
      <c r="N38" s="49"/>
      <c r="O38" s="49"/>
      <c r="P38" s="111"/>
      <c r="S38" s="49"/>
      <c r="T38" s="77"/>
      <c r="V38" s="1231"/>
      <c r="W38" s="1232"/>
      <c r="X38" s="1174"/>
    </row>
    <row r="39" spans="1:24" ht="2.5" customHeight="1">
      <c r="A39" s="13"/>
      <c r="E39" s="110"/>
      <c r="F39" s="2"/>
      <c r="G39" s="2"/>
      <c r="H39" s="46"/>
      <c r="I39" s="2"/>
      <c r="J39" s="2"/>
      <c r="K39" s="2"/>
      <c r="L39" s="2"/>
      <c r="M39" s="2"/>
      <c r="N39" s="49"/>
      <c r="O39" s="49"/>
      <c r="P39" s="111"/>
      <c r="S39" s="49"/>
      <c r="T39" s="77"/>
      <c r="V39" s="1231"/>
      <c r="W39" s="1232"/>
      <c r="X39" s="1174"/>
    </row>
    <row r="40" spans="1:24" ht="11.15" customHeight="1">
      <c r="A40" s="13"/>
      <c r="E40" s="207">
        <f>IF($E$44&gt;2023,$E$44-4,"")</f>
        <v>2021</v>
      </c>
      <c r="H40" s="354"/>
      <c r="I40" s="2" t="s">
        <v>25</v>
      </c>
      <c r="J40" s="2"/>
      <c r="K40" s="2"/>
      <c r="L40" s="49"/>
      <c r="M40" s="2"/>
      <c r="N40" s="49"/>
      <c r="O40" s="49"/>
      <c r="P40" s="111"/>
      <c r="S40" s="49"/>
      <c r="T40" s="77"/>
      <c r="V40" s="1231"/>
      <c r="W40" s="1232"/>
      <c r="X40" s="1174"/>
    </row>
    <row r="41" spans="1:24" ht="11.15" customHeight="1">
      <c r="A41" s="13"/>
      <c r="E41" s="207">
        <f>IF($E$44&gt;2023,$E$44-3,"")</f>
        <v>2022</v>
      </c>
      <c r="H41" s="354"/>
      <c r="I41" s="228" t="s">
        <v>25</v>
      </c>
      <c r="J41" s="2"/>
      <c r="K41" s="2"/>
      <c r="L41" s="49"/>
      <c r="M41" s="2"/>
      <c r="N41" s="49"/>
      <c r="O41" s="49"/>
      <c r="P41" s="111"/>
      <c r="S41" s="49"/>
      <c r="T41" s="77"/>
      <c r="V41" s="1231"/>
      <c r="W41" s="1232"/>
      <c r="X41" s="1174"/>
    </row>
    <row r="42" spans="1:24" ht="11.15" customHeight="1">
      <c r="A42" s="13"/>
      <c r="E42" s="207">
        <f>IF($E$44&gt;2023,$E$44-2,"")</f>
        <v>2023</v>
      </c>
      <c r="H42" s="354"/>
      <c r="I42" s="228" t="s">
        <v>25</v>
      </c>
      <c r="J42" s="2"/>
      <c r="K42" s="2"/>
      <c r="L42" s="49"/>
      <c r="M42" s="2"/>
      <c r="N42" s="49"/>
      <c r="O42" s="49"/>
      <c r="P42" s="111"/>
      <c r="S42" s="49"/>
      <c r="T42" s="77"/>
      <c r="V42" s="1231"/>
      <c r="W42" s="1232"/>
      <c r="X42" s="1174"/>
    </row>
    <row r="43" spans="1:24" ht="11.15" customHeight="1">
      <c r="A43" s="13"/>
      <c r="E43" s="207">
        <f>IF($E$44&gt;2023,$E$44-1,"")</f>
        <v>2024</v>
      </c>
      <c r="H43" s="354"/>
      <c r="I43" s="228" t="s">
        <v>25</v>
      </c>
      <c r="J43" s="2"/>
      <c r="M43" s="207" t="s">
        <v>56</v>
      </c>
      <c r="N43" s="247">
        <f>'HAW-Kennwerte'!E29</f>
        <v>81600</v>
      </c>
      <c r="O43" s="49"/>
      <c r="P43" s="111"/>
      <c r="S43" s="49"/>
      <c r="T43" s="77"/>
      <c r="V43" s="1231"/>
      <c r="W43" s="1232"/>
      <c r="X43" s="1174"/>
    </row>
    <row r="44" spans="1:24" ht="11.15" customHeight="1">
      <c r="A44" s="13"/>
      <c r="D44" s="236" t="s">
        <v>184</v>
      </c>
      <c r="E44" s="711">
        <v>2025</v>
      </c>
      <c r="H44" s="354"/>
      <c r="I44" s="228" t="s">
        <v>25</v>
      </c>
      <c r="J44" s="49"/>
      <c r="M44" s="207" t="s">
        <v>119</v>
      </c>
      <c r="N44" s="475"/>
      <c r="O44" s="49"/>
      <c r="P44" s="111"/>
      <c r="S44" s="49"/>
      <c r="T44" s="77"/>
      <c r="V44" s="1231"/>
      <c r="W44" s="1232"/>
      <c r="X44" s="1174"/>
    </row>
    <row r="45" spans="1:24" ht="2.5" customHeight="1">
      <c r="A45" s="13"/>
      <c r="E45" s="2"/>
      <c r="F45" s="2"/>
      <c r="H45" s="2"/>
      <c r="I45" s="2"/>
      <c r="J45" s="49"/>
      <c r="M45" s="2"/>
      <c r="N45" s="2"/>
      <c r="O45" s="49"/>
      <c r="P45" s="111"/>
      <c r="S45" s="49"/>
      <c r="T45" s="77"/>
      <c r="V45" s="1231"/>
      <c r="W45" s="1232"/>
      <c r="X45" s="1174"/>
    </row>
    <row r="46" spans="1:24">
      <c r="A46" s="13"/>
      <c r="E46" s="2"/>
      <c r="F46" s="2"/>
      <c r="G46" s="116" t="s">
        <v>33</v>
      </c>
      <c r="H46" s="354"/>
      <c r="I46" s="2"/>
      <c r="J46" s="49"/>
      <c r="M46" s="116" t="s">
        <v>33</v>
      </c>
      <c r="N46" s="354"/>
      <c r="O46" s="49"/>
      <c r="P46" s="111"/>
      <c r="S46" s="49"/>
      <c r="T46" s="77"/>
      <c r="V46" s="1231"/>
      <c r="W46" s="1232"/>
      <c r="X46" s="1174"/>
    </row>
    <row r="47" spans="1:24" ht="12" customHeight="1">
      <c r="A47" s="13"/>
      <c r="E47" s="2"/>
      <c r="F47" s="2"/>
      <c r="G47" s="2"/>
      <c r="H47" s="54">
        <f>IF(H46=0,(H44*1.02*5+H43*1.04*4+H42*1.06*3+H41*1.08*2+H40*1.1)/15,H46)</f>
        <v>0</v>
      </c>
      <c r="I47" s="2"/>
      <c r="J47" s="49"/>
      <c r="M47" s="2"/>
      <c r="N47" s="54">
        <f>IF(N46&gt;0,N46,'HAW-Kennwerte'!E31)</f>
        <v>81600</v>
      </c>
      <c r="O47" s="49"/>
      <c r="P47" s="111"/>
      <c r="S47" s="49"/>
      <c r="T47" s="77"/>
      <c r="V47" s="1200"/>
      <c r="W47" s="1201"/>
      <c r="X47" s="1202"/>
    </row>
    <row r="48" spans="1:24">
      <c r="A48" s="45"/>
      <c r="B48" s="46"/>
      <c r="C48" s="46"/>
      <c r="D48" s="46"/>
      <c r="E48" s="46"/>
      <c r="F48" s="46"/>
      <c r="G48" s="46"/>
      <c r="H48" s="46"/>
      <c r="I48" s="46"/>
      <c r="J48" s="119"/>
      <c r="K48" s="46"/>
      <c r="L48" s="119"/>
      <c r="M48" s="46"/>
      <c r="N48" s="119"/>
      <c r="O48" s="119"/>
      <c r="P48" s="120"/>
      <c r="S48" s="49"/>
      <c r="T48" s="77"/>
      <c r="V48" s="1231"/>
      <c r="W48" s="1232"/>
      <c r="X48" s="1174"/>
    </row>
    <row r="49" spans="1:24" ht="11.25" customHeight="1">
      <c r="B49" s="117" t="s">
        <v>34</v>
      </c>
      <c r="S49" s="49"/>
      <c r="T49" s="2"/>
      <c r="V49" s="1231"/>
      <c r="W49" s="1232"/>
      <c r="X49" s="1174"/>
    </row>
    <row r="50" spans="1:24">
      <c r="A50" s="2"/>
      <c r="B50" s="106"/>
      <c r="C50" s="209"/>
      <c r="D50" s="106"/>
      <c r="E50" s="106"/>
      <c r="F50" s="106"/>
      <c r="G50" s="106"/>
      <c r="H50" s="106"/>
      <c r="I50" s="106"/>
      <c r="J50" s="106"/>
      <c r="K50" s="107"/>
      <c r="L50" s="106"/>
      <c r="M50" s="107"/>
      <c r="N50" s="106"/>
      <c r="O50" s="107"/>
      <c r="P50" s="107"/>
      <c r="Q50" s="107"/>
      <c r="R50" s="49"/>
      <c r="S50" s="49"/>
      <c r="T50" s="49"/>
      <c r="V50" s="1231"/>
      <c r="W50" s="1232"/>
      <c r="X50" s="1174"/>
    </row>
    <row r="51" spans="1:24">
      <c r="A51" s="2"/>
      <c r="J51" s="1"/>
      <c r="K51" s="42"/>
      <c r="L51" s="1"/>
      <c r="M51" s="42"/>
      <c r="N51" s="1"/>
      <c r="Q51" s="201" t="str">
        <f>HAW!B28</f>
        <v>Kennwertverfahren NRW für HAW; HIS-Institut für Hochschulentwicklung e.V. (24.04.2026)</v>
      </c>
      <c r="R51" s="250"/>
      <c r="S51" s="2"/>
      <c r="T51" s="2"/>
      <c r="V51" s="1231"/>
      <c r="W51" s="1232"/>
      <c r="X51" s="1174"/>
    </row>
    <row r="52" spans="1:24">
      <c r="A52" s="2"/>
      <c r="T52" s="121"/>
      <c r="V52" s="1231"/>
      <c r="W52" s="1232"/>
      <c r="X52" s="1174"/>
    </row>
    <row r="53" spans="1:24">
      <c r="A53" s="2"/>
      <c r="T53" s="121"/>
      <c r="V53" s="1231"/>
      <c r="W53" s="1232"/>
      <c r="X53" s="1174"/>
    </row>
    <row r="54" spans="1:24" ht="10.5">
      <c r="A54" s="2"/>
      <c r="B54" s="368" t="str">
        <f>IF(B8=0,B7,CONCATENATE(B7,B8))</f>
        <v>Hochschule …</v>
      </c>
      <c r="C54" s="369"/>
      <c r="D54" s="369"/>
      <c r="E54" s="369"/>
      <c r="F54" s="369"/>
      <c r="G54" s="369"/>
      <c r="H54" s="369"/>
      <c r="I54" s="369"/>
      <c r="J54" s="370"/>
      <c r="K54" s="369"/>
      <c r="L54" s="370"/>
      <c r="M54" s="369"/>
      <c r="N54" s="370"/>
      <c r="O54" s="370"/>
      <c r="P54" s="370"/>
      <c r="Q54" s="370"/>
      <c r="R54" s="370"/>
      <c r="S54" s="370"/>
      <c r="T54" s="121"/>
      <c r="V54" s="1231"/>
      <c r="W54" s="1232"/>
      <c r="X54" s="1174"/>
    </row>
    <row r="55" spans="1:24">
      <c r="A55" s="2"/>
      <c r="B55" s="369" t="str">
        <f>B9</f>
        <v>[Fakultät/Fachbereich]</v>
      </c>
      <c r="C55" s="369"/>
      <c r="D55" s="369"/>
      <c r="E55" s="369"/>
      <c r="F55" s="369"/>
      <c r="G55" s="369"/>
      <c r="H55" s="369"/>
      <c r="I55" s="369"/>
      <c r="J55" s="370"/>
      <c r="K55" s="369"/>
      <c r="L55" s="370"/>
      <c r="M55" s="369"/>
      <c r="N55" s="370"/>
      <c r="O55" s="370"/>
      <c r="P55" s="370"/>
      <c r="Q55" s="370"/>
      <c r="R55" s="370"/>
      <c r="S55" s="370"/>
      <c r="T55" s="121"/>
      <c r="V55" s="1231"/>
      <c r="W55" s="1232"/>
      <c r="X55" s="1174"/>
    </row>
    <row r="56" spans="1:24">
      <c r="A56" s="2"/>
      <c r="B56" s="369" t="str">
        <f>B10</f>
        <v>[Department, Institut o.a.]</v>
      </c>
      <c r="C56" s="369"/>
      <c r="D56" s="369"/>
      <c r="E56" s="369"/>
      <c r="F56" s="369"/>
      <c r="G56" s="369"/>
      <c r="H56" s="369"/>
      <c r="I56" s="369"/>
      <c r="J56" s="370"/>
      <c r="K56" s="369"/>
      <c r="L56" s="370"/>
      <c r="M56" s="369"/>
      <c r="N56" s="370"/>
      <c r="O56" s="370"/>
      <c r="P56" s="370"/>
      <c r="Q56" s="370"/>
      <c r="R56" s="370"/>
      <c r="S56" s="370"/>
      <c r="T56" s="121"/>
      <c r="V56" s="1231"/>
      <c r="W56" s="1232"/>
      <c r="X56" s="1174"/>
    </row>
    <row r="57" spans="1:24">
      <c r="A57" s="2"/>
      <c r="B57" s="369" t="str">
        <f>CONCATENATE(B12,": ",B13)</f>
        <v>Lehr- und Forschungsbereich: Mathematik</v>
      </c>
      <c r="C57" s="369"/>
      <c r="D57" s="369"/>
      <c r="E57" s="369"/>
      <c r="F57" s="369"/>
      <c r="G57" s="369"/>
      <c r="H57" s="369"/>
      <c r="I57" s="369"/>
      <c r="J57" s="370"/>
      <c r="K57" s="369"/>
      <c r="L57" s="370"/>
      <c r="M57" s="369"/>
      <c r="N57" s="370"/>
      <c r="O57" s="370"/>
      <c r="P57" s="370"/>
      <c r="Q57" s="370"/>
      <c r="R57" s="370"/>
      <c r="S57" s="370"/>
      <c r="T57" s="121"/>
      <c r="V57" s="1231"/>
      <c r="W57" s="1232"/>
      <c r="X57" s="1174"/>
    </row>
    <row r="58" spans="1:24">
      <c r="A58" s="2"/>
      <c r="T58" s="121"/>
      <c r="V58" s="1231"/>
      <c r="W58" s="1232"/>
      <c r="X58" s="1174"/>
    </row>
    <row r="59" spans="1:24">
      <c r="A59" s="2"/>
      <c r="B59" s="378" t="s">
        <v>95</v>
      </c>
      <c r="T59" s="121"/>
      <c r="V59" s="1231"/>
      <c r="W59" s="1232"/>
      <c r="X59" s="1174"/>
    </row>
    <row r="60" spans="1:24" s="202" customFormat="1" ht="2.25" customHeight="1">
      <c r="A60" s="110"/>
      <c r="B60" s="909"/>
      <c r="C60" s="910"/>
      <c r="D60" s="910"/>
      <c r="E60" s="910"/>
      <c r="F60" s="910"/>
      <c r="G60" s="910"/>
      <c r="H60" s="910"/>
      <c r="I60" s="910"/>
      <c r="J60" s="544"/>
      <c r="K60" s="910"/>
      <c r="L60" s="544"/>
      <c r="M60" s="910"/>
      <c r="N60" s="544"/>
      <c r="O60" s="544"/>
      <c r="P60" s="544"/>
      <c r="Q60" s="544"/>
      <c r="R60" s="544"/>
      <c r="S60" s="544"/>
      <c r="T60" s="320"/>
      <c r="V60" s="1231"/>
      <c r="W60" s="1232"/>
      <c r="X60" s="1174"/>
    </row>
    <row r="61" spans="1:24" s="202" customFormat="1" ht="10" customHeight="1">
      <c r="A61" s="206"/>
      <c r="B61" s="210"/>
      <c r="C61" s="206"/>
      <c r="D61" s="206"/>
      <c r="E61" s="206"/>
      <c r="F61" s="206"/>
      <c r="G61" s="206"/>
      <c r="H61" s="238"/>
      <c r="I61" s="238"/>
      <c r="J61" s="239"/>
      <c r="K61" s="238"/>
      <c r="L61" s="239"/>
      <c r="M61" s="238"/>
      <c r="N61" s="239"/>
      <c r="O61" s="239"/>
      <c r="P61" s="239"/>
      <c r="Q61" s="208"/>
      <c r="R61" s="208"/>
      <c r="S61" s="1166" t="s">
        <v>60</v>
      </c>
      <c r="T61" s="321"/>
      <c r="V61" s="1231"/>
      <c r="W61" s="1232"/>
      <c r="X61" s="1174"/>
    </row>
    <row r="62" spans="1:24" s="202" customFormat="1" ht="10" customHeight="1">
      <c r="A62" s="206"/>
      <c r="B62" s="210"/>
      <c r="C62" s="206"/>
      <c r="E62" s="206"/>
      <c r="F62" s="206"/>
      <c r="G62" s="206"/>
      <c r="H62" s="240" t="s">
        <v>60</v>
      </c>
      <c r="I62" s="241"/>
      <c r="J62" s="241"/>
      <c r="K62" s="240"/>
      <c r="L62" s="240"/>
      <c r="M62" s="243" t="s">
        <v>61</v>
      </c>
      <c r="N62" s="241"/>
      <c r="O62" s="240"/>
      <c r="P62" s="240"/>
      <c r="Q62" s="240"/>
      <c r="R62" s="240"/>
      <c r="S62" s="1189" t="s">
        <v>857</v>
      </c>
      <c r="T62" s="321"/>
      <c r="V62" s="1231"/>
      <c r="W62" s="1232"/>
      <c r="X62" s="1174"/>
    </row>
    <row r="63" spans="1:24" ht="10.4" customHeight="1">
      <c r="A63" s="2"/>
      <c r="B63" s="235"/>
      <c r="C63" s="204"/>
      <c r="F63" s="2"/>
      <c r="G63" s="2"/>
      <c r="H63" s="49"/>
      <c r="I63" s="2"/>
      <c r="J63" s="2"/>
      <c r="K63" s="49"/>
      <c r="L63" s="1"/>
      <c r="M63" s="244"/>
      <c r="N63" s="2"/>
      <c r="O63" s="49"/>
      <c r="P63" s="1"/>
      <c r="Q63" s="49"/>
      <c r="R63" s="49"/>
      <c r="S63" s="234"/>
      <c r="T63" s="321"/>
      <c r="V63" s="1231"/>
      <c r="W63" s="1232"/>
      <c r="X63" s="1174"/>
    </row>
    <row r="64" spans="1:24" ht="10.5">
      <c r="A64" s="2"/>
      <c r="B64" s="235"/>
      <c r="C64" s="204"/>
      <c r="E64" s="237" t="s">
        <v>66</v>
      </c>
      <c r="F64" s="2"/>
      <c r="G64" s="2"/>
      <c r="H64" s="202" t="s">
        <v>67</v>
      </c>
      <c r="I64" s="2"/>
      <c r="J64" s="2"/>
      <c r="K64" s="49"/>
      <c r="L64" s="1"/>
      <c r="M64" s="245" t="s">
        <v>67</v>
      </c>
      <c r="N64" s="2"/>
      <c r="O64" s="49"/>
      <c r="P64" s="1"/>
      <c r="T64" s="321"/>
      <c r="V64" s="1231"/>
      <c r="W64" s="1232"/>
      <c r="X64" s="1174"/>
    </row>
    <row r="65" spans="1:24" ht="12" customHeight="1">
      <c r="A65" s="2"/>
      <c r="B65" s="210"/>
      <c r="C65" s="206"/>
      <c r="D65" s="236" t="s">
        <v>65</v>
      </c>
      <c r="E65" s="355"/>
      <c r="F65" s="2"/>
      <c r="G65" s="2"/>
      <c r="H65" s="325">
        <f>SUM(H70:H81)</f>
        <v>0</v>
      </c>
      <c r="I65" s="326"/>
      <c r="J65" s="2"/>
      <c r="K65" s="49"/>
      <c r="L65" s="1"/>
      <c r="M65" s="325">
        <f>SUM(M70:M81)</f>
        <v>0</v>
      </c>
      <c r="N65" s="326"/>
      <c r="O65" s="49"/>
      <c r="P65" s="1"/>
      <c r="S65" s="323">
        <f>H65+M65</f>
        <v>0</v>
      </c>
      <c r="T65" s="321"/>
      <c r="V65" s="1231"/>
      <c r="W65" s="1232"/>
      <c r="X65" s="1174"/>
    </row>
    <row r="66" spans="1:24" ht="12" customHeight="1">
      <c r="A66" s="2"/>
      <c r="B66" s="210"/>
      <c r="C66" s="206"/>
      <c r="D66" s="236" t="s">
        <v>74</v>
      </c>
      <c r="E66" s="356"/>
      <c r="F66" s="2"/>
      <c r="G66" s="2"/>
      <c r="H66" s="338">
        <f>H65*SUM(E65,E66)</f>
        <v>0</v>
      </c>
      <c r="I66" s="327" t="str">
        <f>IF(H66&gt;0,"SWS","")</f>
        <v/>
      </c>
      <c r="J66" s="2"/>
      <c r="K66" s="49"/>
      <c r="L66" s="1"/>
      <c r="M66" s="338">
        <f>M65*SUM(E65,E66)</f>
        <v>0</v>
      </c>
      <c r="N66" s="327" t="str">
        <f>IF(M66&gt;0,"SWS","")</f>
        <v/>
      </c>
      <c r="O66" s="49"/>
      <c r="P66" s="1"/>
      <c r="S66" s="55">
        <f>SUM(H66,M66)</f>
        <v>0</v>
      </c>
      <c r="T66" s="321"/>
      <c r="V66" s="1231"/>
      <c r="W66" s="1232"/>
      <c r="X66" s="1174"/>
    </row>
    <row r="67" spans="1:24" ht="10.5">
      <c r="A67" s="2"/>
      <c r="B67" s="13"/>
      <c r="C67" s="2"/>
      <c r="D67" s="2"/>
      <c r="E67" s="324">
        <f>SUM(E65:E66)</f>
        <v>0</v>
      </c>
      <c r="F67" s="2"/>
      <c r="G67" s="2"/>
      <c r="H67" s="2"/>
      <c r="I67" s="2"/>
      <c r="J67" s="2"/>
      <c r="K67" s="49"/>
      <c r="L67" s="1"/>
      <c r="M67" s="244"/>
      <c r="N67" s="2"/>
      <c r="O67" s="49"/>
      <c r="P67" s="49"/>
      <c r="Q67" s="49"/>
      <c r="R67" s="49"/>
      <c r="S67" s="49"/>
      <c r="T67" s="321"/>
      <c r="V67" s="1231"/>
      <c r="W67" s="1232"/>
      <c r="X67" s="1174"/>
    </row>
    <row r="68" spans="1:24">
      <c r="A68" s="2"/>
      <c r="B68" s="13"/>
      <c r="C68" s="2"/>
      <c r="D68" s="2"/>
      <c r="F68" s="2"/>
      <c r="G68" s="2"/>
      <c r="H68" s="2"/>
      <c r="I68" s="2"/>
      <c r="J68" s="2"/>
      <c r="K68" s="113" t="s">
        <v>97</v>
      </c>
      <c r="L68" s="1"/>
      <c r="M68" s="244"/>
      <c r="N68" s="2"/>
      <c r="O68" s="49"/>
      <c r="P68" s="113" t="s">
        <v>97</v>
      </c>
      <c r="Q68" s="49"/>
      <c r="R68" s="49"/>
      <c r="S68" s="49"/>
      <c r="T68" s="321"/>
      <c r="V68" s="1231"/>
      <c r="W68" s="1232"/>
      <c r="X68" s="1174"/>
    </row>
    <row r="69" spans="1:24" ht="13.4" customHeight="1">
      <c r="A69" s="2"/>
      <c r="B69" s="13"/>
      <c r="C69" s="2"/>
      <c r="D69" s="2"/>
      <c r="E69" s="114"/>
      <c r="F69" s="2"/>
      <c r="G69" s="2"/>
      <c r="H69" s="113" t="s">
        <v>83</v>
      </c>
      <c r="I69" s="113" t="s">
        <v>31</v>
      </c>
      <c r="J69" s="113" t="s">
        <v>32</v>
      </c>
      <c r="K69" s="113" t="s">
        <v>96</v>
      </c>
      <c r="L69" s="113" t="s">
        <v>94</v>
      </c>
      <c r="M69" s="319" t="s">
        <v>83</v>
      </c>
      <c r="N69" s="113" t="s">
        <v>31</v>
      </c>
      <c r="O69" s="113" t="s">
        <v>32</v>
      </c>
      <c r="P69" s="113" t="s">
        <v>96</v>
      </c>
      <c r="Q69" s="113" t="s">
        <v>94</v>
      </c>
      <c r="R69" s="113"/>
      <c r="S69" s="49"/>
      <c r="T69" s="321"/>
      <c r="V69" s="1231"/>
      <c r="W69" s="1232"/>
      <c r="X69" s="1174"/>
    </row>
    <row r="70" spans="1:24" ht="11.15" customHeight="1">
      <c r="A70" s="2"/>
      <c r="B70" s="13"/>
      <c r="C70" s="2"/>
      <c r="D70" s="725"/>
      <c r="E70" s="725"/>
      <c r="F70" s="731" t="s">
        <v>201</v>
      </c>
      <c r="G70" s="2"/>
      <c r="H70" s="371"/>
      <c r="I70" s="372"/>
      <c r="J70" s="373"/>
      <c r="K70" s="374"/>
      <c r="L70" s="337">
        <f>IFERROR($E$67*H70*I70/J70*K70,0)</f>
        <v>0</v>
      </c>
      <c r="M70" s="376"/>
      <c r="N70" s="372"/>
      <c r="O70" s="373"/>
      <c r="P70" s="374"/>
      <c r="Q70" s="115">
        <f>IFERROR($E$67*M70*N70/O70*P70,0)</f>
        <v>0</v>
      </c>
      <c r="R70" s="342"/>
      <c r="S70" s="49"/>
      <c r="T70" s="321"/>
      <c r="V70" s="1200"/>
      <c r="W70" s="1201"/>
      <c r="X70" s="1202"/>
    </row>
    <row r="71" spans="1:24" ht="11.15" customHeight="1">
      <c r="B71" s="13"/>
      <c r="C71" s="2"/>
      <c r="D71" s="726"/>
      <c r="E71" s="726"/>
      <c r="F71" s="732" t="s">
        <v>202</v>
      </c>
      <c r="G71" s="2"/>
      <c r="H71" s="375"/>
      <c r="I71" s="372"/>
      <c r="J71" s="373"/>
      <c r="K71" s="374"/>
      <c r="L71" s="337">
        <f>IFERROR($E$67*H71*I71/J71*K71,0)</f>
        <v>0</v>
      </c>
      <c r="M71" s="377"/>
      <c r="N71" s="372"/>
      <c r="O71" s="373"/>
      <c r="P71" s="374"/>
      <c r="Q71" s="115">
        <f t="shared" ref="Q71:Q81" si="0">IFERROR($E$67*M71*N71/O71*P71,0)</f>
        <v>0</v>
      </c>
      <c r="R71" s="342"/>
      <c r="S71" s="49"/>
      <c r="T71" s="321"/>
      <c r="V71" s="1200"/>
      <c r="W71" s="1201"/>
      <c r="X71" s="1202"/>
    </row>
    <row r="72" spans="1:24" ht="11.5" customHeight="1">
      <c r="B72" s="13"/>
      <c r="C72" s="2"/>
      <c r="D72" s="726"/>
      <c r="E72" s="726"/>
      <c r="F72" s="732" t="s">
        <v>203</v>
      </c>
      <c r="G72" s="2"/>
      <c r="H72" s="375"/>
      <c r="I72" s="372"/>
      <c r="J72" s="373"/>
      <c r="K72" s="374"/>
      <c r="L72" s="337">
        <f>IFERROR($E$67*H72*I72/J72*K72,0)</f>
        <v>0</v>
      </c>
      <c r="M72" s="377"/>
      <c r="N72" s="372"/>
      <c r="O72" s="373"/>
      <c r="P72" s="374"/>
      <c r="Q72" s="115">
        <f t="shared" si="0"/>
        <v>0</v>
      </c>
      <c r="R72" s="342"/>
      <c r="S72" s="49"/>
      <c r="T72" s="321"/>
      <c r="V72" s="1200"/>
      <c r="W72" s="1201"/>
      <c r="X72" s="1202"/>
    </row>
    <row r="73" spans="1:24">
      <c r="B73" s="13"/>
      <c r="C73" s="2"/>
      <c r="D73" s="726"/>
      <c r="E73" s="726"/>
      <c r="F73" s="732"/>
      <c r="G73" s="2"/>
      <c r="H73" s="375"/>
      <c r="I73" s="372"/>
      <c r="J73" s="373"/>
      <c r="K73" s="374"/>
      <c r="L73" s="337">
        <f t="shared" ref="L73:L81" si="1">IFERROR($E$67*H73*I73/J73*K73,0)</f>
        <v>0</v>
      </c>
      <c r="M73" s="377"/>
      <c r="N73" s="372"/>
      <c r="O73" s="373"/>
      <c r="P73" s="374"/>
      <c r="Q73" s="115">
        <f t="shared" si="0"/>
        <v>0</v>
      </c>
      <c r="R73" s="342"/>
      <c r="S73" s="49"/>
      <c r="T73" s="321"/>
      <c r="V73" s="1200"/>
      <c r="W73" s="1201"/>
      <c r="X73" s="1202"/>
    </row>
    <row r="74" spans="1:24">
      <c r="B74" s="13"/>
      <c r="C74" s="2"/>
      <c r="D74" s="727"/>
      <c r="E74" s="728"/>
      <c r="F74" s="732"/>
      <c r="G74" s="2"/>
      <c r="H74" s="375"/>
      <c r="I74" s="372"/>
      <c r="J74" s="373"/>
      <c r="K74" s="374"/>
      <c r="L74" s="337">
        <f t="shared" si="1"/>
        <v>0</v>
      </c>
      <c r="M74" s="377"/>
      <c r="N74" s="372"/>
      <c r="O74" s="373"/>
      <c r="P74" s="374"/>
      <c r="Q74" s="115">
        <f t="shared" si="0"/>
        <v>0</v>
      </c>
      <c r="R74" s="342"/>
      <c r="S74" s="49"/>
      <c r="T74" s="321"/>
      <c r="V74" s="1200"/>
      <c r="W74" s="1201"/>
      <c r="X74" s="1202"/>
    </row>
    <row r="75" spans="1:24">
      <c r="B75" s="13"/>
      <c r="C75" s="2"/>
      <c r="D75" s="727"/>
      <c r="E75" s="728"/>
      <c r="F75" s="732"/>
      <c r="G75" s="2"/>
      <c r="H75" s="375"/>
      <c r="I75" s="372"/>
      <c r="J75" s="373"/>
      <c r="K75" s="374"/>
      <c r="L75" s="337">
        <f t="shared" si="1"/>
        <v>0</v>
      </c>
      <c r="M75" s="377"/>
      <c r="N75" s="372"/>
      <c r="O75" s="373"/>
      <c r="P75" s="374"/>
      <c r="Q75" s="115">
        <f t="shared" si="0"/>
        <v>0</v>
      </c>
      <c r="R75" s="342"/>
      <c r="S75" s="49"/>
      <c r="T75" s="321"/>
      <c r="V75" s="1200"/>
      <c r="W75" s="1201"/>
      <c r="X75" s="1202"/>
    </row>
    <row r="76" spans="1:24">
      <c r="B76" s="13"/>
      <c r="C76" s="2"/>
      <c r="D76" s="727"/>
      <c r="E76" s="728"/>
      <c r="F76" s="732"/>
      <c r="G76" s="2"/>
      <c r="H76" s="375"/>
      <c r="I76" s="372"/>
      <c r="J76" s="373"/>
      <c r="K76" s="374"/>
      <c r="L76" s="337">
        <f t="shared" si="1"/>
        <v>0</v>
      </c>
      <c r="M76" s="377"/>
      <c r="N76" s="372"/>
      <c r="O76" s="373"/>
      <c r="P76" s="374"/>
      <c r="Q76" s="115">
        <f t="shared" si="0"/>
        <v>0</v>
      </c>
      <c r="R76" s="342"/>
      <c r="S76" s="49"/>
      <c r="T76" s="321"/>
      <c r="V76" s="1200"/>
      <c r="W76" s="1201"/>
      <c r="X76" s="1202"/>
    </row>
    <row r="77" spans="1:24">
      <c r="B77" s="13"/>
      <c r="C77" s="2"/>
      <c r="D77" s="727"/>
      <c r="E77" s="728"/>
      <c r="F77" s="732"/>
      <c r="G77" s="2"/>
      <c r="H77" s="375"/>
      <c r="I77" s="372"/>
      <c r="J77" s="373"/>
      <c r="K77" s="374"/>
      <c r="L77" s="337">
        <f t="shared" si="1"/>
        <v>0</v>
      </c>
      <c r="M77" s="377"/>
      <c r="N77" s="372"/>
      <c r="O77" s="373"/>
      <c r="P77" s="374"/>
      <c r="Q77" s="115">
        <f t="shared" si="0"/>
        <v>0</v>
      </c>
      <c r="R77" s="342"/>
      <c r="S77" s="49"/>
      <c r="T77" s="321"/>
      <c r="V77" s="1200"/>
      <c r="W77" s="1201"/>
      <c r="X77" s="1202"/>
    </row>
    <row r="78" spans="1:24">
      <c r="B78" s="13"/>
      <c r="C78" s="2"/>
      <c r="D78" s="727"/>
      <c r="E78" s="728"/>
      <c r="F78" s="732"/>
      <c r="G78" s="2"/>
      <c r="H78" s="375"/>
      <c r="I78" s="372"/>
      <c r="J78" s="373"/>
      <c r="K78" s="374"/>
      <c r="L78" s="337">
        <f t="shared" si="1"/>
        <v>0</v>
      </c>
      <c r="M78" s="377"/>
      <c r="N78" s="372"/>
      <c r="O78" s="373"/>
      <c r="P78" s="374"/>
      <c r="Q78" s="115">
        <f t="shared" si="0"/>
        <v>0</v>
      </c>
      <c r="R78" s="342"/>
      <c r="S78" s="49"/>
      <c r="T78" s="321"/>
      <c r="V78" s="1200"/>
      <c r="W78" s="1201"/>
      <c r="X78" s="1202"/>
    </row>
    <row r="79" spans="1:24">
      <c r="B79" s="13"/>
      <c r="C79" s="2"/>
      <c r="D79" s="727"/>
      <c r="E79" s="728"/>
      <c r="F79" s="732"/>
      <c r="G79" s="2"/>
      <c r="H79" s="375"/>
      <c r="I79" s="372"/>
      <c r="J79" s="373"/>
      <c r="K79" s="374"/>
      <c r="L79" s="337">
        <f t="shared" si="1"/>
        <v>0</v>
      </c>
      <c r="M79" s="377"/>
      <c r="N79" s="372"/>
      <c r="O79" s="373"/>
      <c r="P79" s="374"/>
      <c r="Q79" s="115">
        <f t="shared" si="0"/>
        <v>0</v>
      </c>
      <c r="R79" s="342"/>
      <c r="S79" s="49"/>
      <c r="T79" s="321"/>
      <c r="V79" s="1200"/>
      <c r="W79" s="1201"/>
      <c r="X79" s="1202"/>
    </row>
    <row r="80" spans="1:24">
      <c r="B80" s="13"/>
      <c r="C80" s="2"/>
      <c r="D80" s="727"/>
      <c r="E80" s="728"/>
      <c r="F80" s="732"/>
      <c r="G80" s="2"/>
      <c r="H80" s="375"/>
      <c r="I80" s="372"/>
      <c r="J80" s="373"/>
      <c r="K80" s="374"/>
      <c r="L80" s="337">
        <f t="shared" si="1"/>
        <v>0</v>
      </c>
      <c r="M80" s="377"/>
      <c r="N80" s="372"/>
      <c r="O80" s="373"/>
      <c r="P80" s="374"/>
      <c r="Q80" s="115">
        <f t="shared" si="0"/>
        <v>0</v>
      </c>
      <c r="R80" s="342"/>
      <c r="S80" s="49"/>
      <c r="T80" s="321"/>
      <c r="V80" s="1200"/>
      <c r="W80" s="1201"/>
      <c r="X80" s="1202"/>
    </row>
    <row r="81" spans="1:24">
      <c r="B81" s="13"/>
      <c r="C81" s="2"/>
      <c r="D81" s="729"/>
      <c r="E81" s="730"/>
      <c r="F81" s="733"/>
      <c r="G81" s="2"/>
      <c r="H81" s="375"/>
      <c r="I81" s="372"/>
      <c r="J81" s="373"/>
      <c r="K81" s="374"/>
      <c r="L81" s="337">
        <f t="shared" si="1"/>
        <v>0</v>
      </c>
      <c r="M81" s="377"/>
      <c r="N81" s="372"/>
      <c r="O81" s="373"/>
      <c r="P81" s="374"/>
      <c r="Q81" s="115">
        <f t="shared" si="0"/>
        <v>0</v>
      </c>
      <c r="R81" s="342"/>
      <c r="S81" s="49"/>
      <c r="T81" s="321"/>
      <c r="V81" s="1200"/>
      <c r="W81" s="1201"/>
      <c r="X81" s="1202"/>
    </row>
    <row r="82" spans="1:24">
      <c r="B82" s="13"/>
      <c r="C82" s="2"/>
      <c r="D82" s="2"/>
      <c r="E82" s="2"/>
      <c r="F82" s="2"/>
      <c r="G82" s="2"/>
      <c r="H82" s="49"/>
      <c r="I82" s="2"/>
      <c r="J82" s="49"/>
      <c r="L82" s="49"/>
      <c r="M82" s="335"/>
      <c r="N82" s="49"/>
      <c r="O82" s="49"/>
      <c r="P82" s="49"/>
      <c r="Q82" s="49"/>
      <c r="R82" s="49"/>
      <c r="S82" s="208" t="s">
        <v>99</v>
      </c>
      <c r="T82" s="321"/>
      <c r="V82" s="1231"/>
      <c r="W82" s="1232"/>
      <c r="X82" s="1174"/>
    </row>
    <row r="83" spans="1:24" ht="12" customHeight="1">
      <c r="B83" s="13"/>
      <c r="C83" s="2"/>
      <c r="D83" s="236" t="s">
        <v>182</v>
      </c>
      <c r="E83" s="2"/>
      <c r="F83" s="2"/>
      <c r="G83" s="2"/>
      <c r="H83" s="49"/>
      <c r="I83" s="2"/>
      <c r="K83" s="116" t="s">
        <v>196</v>
      </c>
      <c r="L83" s="357"/>
      <c r="M83" s="336"/>
      <c r="N83" s="1"/>
      <c r="O83" s="1"/>
      <c r="P83" s="116" t="s">
        <v>196</v>
      </c>
      <c r="Q83" s="358"/>
      <c r="R83" s="343"/>
      <c r="S83" s="208" t="s">
        <v>98</v>
      </c>
      <c r="T83" s="321"/>
      <c r="V83" s="1231"/>
      <c r="W83" s="1232"/>
      <c r="X83" s="1174"/>
    </row>
    <row r="84" spans="1:24" ht="12" customHeight="1">
      <c r="B84" s="13"/>
      <c r="C84" s="2"/>
      <c r="D84" s="236" t="s">
        <v>183</v>
      </c>
      <c r="E84" s="350"/>
      <c r="F84" s="2"/>
      <c r="G84" s="2"/>
      <c r="H84" s="49"/>
      <c r="I84" s="2"/>
      <c r="J84" s="49"/>
      <c r="K84" s="435" t="s">
        <v>26</v>
      </c>
      <c r="L84" s="334">
        <f>IF(L83=0,SUM(L70:L81),L83)</f>
        <v>0</v>
      </c>
      <c r="M84" s="336"/>
      <c r="N84" s="1"/>
      <c r="O84" s="1"/>
      <c r="P84" s="435" t="s">
        <v>26</v>
      </c>
      <c r="Q84" s="118">
        <f>IF(Q83=0,SUM(Q70:Q81),Q83)</f>
        <v>0</v>
      </c>
      <c r="R84" s="344"/>
      <c r="S84" s="118">
        <f>L84+Q84*'HAW-Kennwerte'!$R$30</f>
        <v>0</v>
      </c>
      <c r="T84" s="321"/>
      <c r="V84" s="1200"/>
      <c r="W84" s="1201"/>
      <c r="X84" s="1202"/>
    </row>
    <row r="85" spans="1:24" ht="10.5">
      <c r="B85" s="13"/>
      <c r="C85" s="2"/>
      <c r="D85" s="2"/>
      <c r="E85" s="2"/>
      <c r="F85" s="2"/>
      <c r="G85" s="2"/>
      <c r="H85" s="49"/>
      <c r="I85" s="2"/>
      <c r="J85" s="49"/>
      <c r="K85" s="242"/>
      <c r="L85" s="2"/>
      <c r="M85" s="336"/>
      <c r="N85" s="1"/>
      <c r="O85" s="1"/>
      <c r="P85" s="49"/>
      <c r="Q85" s="242"/>
      <c r="R85" s="242"/>
      <c r="S85" s="242"/>
      <c r="T85" s="321"/>
      <c r="V85" s="1231"/>
      <c r="W85" s="1232"/>
      <c r="X85" s="1174"/>
    </row>
    <row r="86" spans="1:24" ht="12" customHeight="1">
      <c r="B86" s="13"/>
      <c r="C86" s="2"/>
      <c r="D86" s="716" t="s">
        <v>194</v>
      </c>
      <c r="E86" s="479" t="s">
        <v>195</v>
      </c>
      <c r="F86" s="2"/>
      <c r="G86" s="2"/>
      <c r="I86" s="2"/>
      <c r="J86" s="208"/>
      <c r="K86" s="242"/>
      <c r="L86" s="204"/>
      <c r="M86" s="204"/>
      <c r="N86" s="203"/>
      <c r="O86" s="203"/>
      <c r="P86" s="791"/>
      <c r="Q86" s="202"/>
      <c r="R86" s="607"/>
      <c r="S86" s="607"/>
      <c r="T86" s="321"/>
      <c r="V86" s="1231"/>
      <c r="W86" s="1232"/>
      <c r="X86" s="1174"/>
    </row>
    <row r="87" spans="1:24" ht="12" customHeight="1">
      <c r="B87" s="13"/>
      <c r="C87" s="2"/>
      <c r="D87" s="2"/>
      <c r="E87" s="2"/>
      <c r="F87" s="2"/>
      <c r="G87" s="2"/>
      <c r="H87" s="49"/>
      <c r="I87" s="2"/>
      <c r="J87" s="202"/>
      <c r="K87" s="206">
        <f>IF($Q$87&gt;2023,$Q$87-6,"")</f>
        <v>2019</v>
      </c>
      <c r="L87" s="206">
        <f>IF($Q$87&gt;2023,$Q$87-5,"")</f>
        <v>2020</v>
      </c>
      <c r="M87" s="206">
        <f>IF($Q$87&gt;2023,$Q$87-4,"")</f>
        <v>2021</v>
      </c>
      <c r="N87" s="206">
        <f>IF($Q$87&gt;2023,$Q$87-3,"")</f>
        <v>2022</v>
      </c>
      <c r="O87" s="206">
        <f>IF($Q$87&gt;2023,$Q$87-2,"")</f>
        <v>2023</v>
      </c>
      <c r="P87" s="206">
        <f>IF($Q$87&gt;2023,$Q$87-1,"")</f>
        <v>2024</v>
      </c>
      <c r="Q87" s="711">
        <v>2025</v>
      </c>
      <c r="R87" s="50"/>
      <c r="S87" s="202"/>
      <c r="T87" s="321"/>
      <c r="V87" s="1231"/>
      <c r="W87" s="1232"/>
      <c r="X87" s="1174"/>
    </row>
    <row r="88" spans="1:24" ht="12" customHeight="1">
      <c r="B88" s="13"/>
      <c r="C88" s="2"/>
      <c r="D88" s="2"/>
      <c r="E88" s="2"/>
      <c r="F88" s="2"/>
      <c r="G88" s="2"/>
      <c r="H88" s="49"/>
      <c r="I88" s="2"/>
      <c r="J88" s="435" t="s">
        <v>245</v>
      </c>
      <c r="K88" s="792"/>
      <c r="L88" s="792"/>
      <c r="M88" s="792"/>
      <c r="N88" s="792"/>
      <c r="O88" s="792"/>
      <c r="P88" s="792"/>
      <c r="Q88" s="792"/>
      <c r="R88" s="50"/>
      <c r="S88" s="744">
        <f>IF(S89&gt;0,IF(S89&gt;1,0,S89),IFERROR(IF((K88*3+L88*4+M88*5+N88*6+O88*7+P88*8+Q88*9)/42&gt;1,1,(K88*3+L88*4+M88*5+N88*6+O88*7+P88*8+Q88*9)/42),""))</f>
        <v>0</v>
      </c>
      <c r="T88" s="321"/>
      <c r="V88" s="1233"/>
      <c r="W88" s="1234"/>
      <c r="X88" s="1235"/>
    </row>
    <row r="89" spans="1:24" ht="12" customHeight="1">
      <c r="B89" s="13"/>
      <c r="C89" s="2"/>
      <c r="D89" s="2"/>
      <c r="E89" s="2"/>
      <c r="F89" s="2"/>
      <c r="G89" s="2"/>
      <c r="H89" s="49"/>
      <c r="I89" s="2"/>
      <c r="J89" s="208"/>
      <c r="K89" s="743" t="s">
        <v>246</v>
      </c>
      <c r="L89" s="203"/>
      <c r="M89" s="203"/>
      <c r="N89" s="203"/>
      <c r="O89" s="203"/>
      <c r="P89" s="607"/>
      <c r="Q89" s="202"/>
      <c r="R89" s="50"/>
      <c r="S89" s="1188"/>
      <c r="T89" s="321"/>
    </row>
    <row r="90" spans="1:24">
      <c r="B90" s="45"/>
      <c r="C90" s="46"/>
      <c r="D90" s="46"/>
      <c r="E90" s="46"/>
      <c r="F90" s="46"/>
      <c r="G90" s="46"/>
      <c r="H90" s="46"/>
      <c r="I90" s="46"/>
      <c r="J90" s="119"/>
      <c r="K90" s="46"/>
      <c r="L90" s="119"/>
      <c r="M90" s="46"/>
      <c r="N90" s="119"/>
      <c r="O90" s="230"/>
      <c r="P90" s="119"/>
      <c r="Q90" s="119"/>
      <c r="R90" s="119"/>
      <c r="S90" s="119"/>
      <c r="T90" s="322"/>
    </row>
    <row r="91" spans="1:24">
      <c r="B91" s="12" t="s">
        <v>100</v>
      </c>
      <c r="H91" s="2"/>
      <c r="I91" s="2"/>
      <c r="J91" s="49"/>
      <c r="K91" s="2"/>
      <c r="L91" s="49"/>
      <c r="M91" s="2"/>
      <c r="N91" s="49"/>
      <c r="O91" s="49"/>
      <c r="P91" s="49"/>
      <c r="Q91" s="49"/>
      <c r="R91" s="49"/>
      <c r="S91" s="49"/>
      <c r="T91" s="121"/>
    </row>
    <row r="92" spans="1:24">
      <c r="A92" s="106"/>
      <c r="B92" s="209" t="s">
        <v>68</v>
      </c>
      <c r="C92" s="106"/>
      <c r="D92" s="106"/>
      <c r="E92" s="106"/>
      <c r="F92" s="106"/>
      <c r="G92" s="106"/>
      <c r="H92" s="106"/>
      <c r="I92" s="106"/>
      <c r="J92" s="107"/>
      <c r="K92" s="106"/>
      <c r="L92" s="107"/>
      <c r="M92" s="106"/>
      <c r="N92" s="107"/>
      <c r="O92" s="107"/>
      <c r="P92" s="107"/>
      <c r="Q92" s="107"/>
      <c r="R92" s="107"/>
      <c r="S92" s="107"/>
      <c r="T92" s="107"/>
    </row>
    <row r="93" spans="1:24">
      <c r="Q93" s="201"/>
      <c r="R93" s="201"/>
      <c r="S93" s="201" t="str">
        <f>HAW!B28</f>
        <v>Kennwertverfahren NRW für HAW; HIS-Institut für Hochschulentwicklung e.V. (24.04.2026)</v>
      </c>
      <c r="T93" s="201"/>
    </row>
    <row r="95" spans="1:24">
      <c r="B95" s="229"/>
      <c r="C95" s="202"/>
    </row>
    <row r="96" spans="1:24" ht="10.5">
      <c r="B96" s="794" t="str">
        <f>IF(B8=0,B7,CONCATENATE(B7,B8))</f>
        <v>Hochschule …</v>
      </c>
      <c r="C96" s="795"/>
      <c r="D96" s="795"/>
      <c r="E96" s="795"/>
      <c r="F96" s="795"/>
      <c r="G96" s="795"/>
      <c r="H96" s="795"/>
      <c r="I96" s="795"/>
      <c r="J96" s="796"/>
      <c r="K96" s="795"/>
      <c r="L96" s="796"/>
      <c r="M96" s="795"/>
      <c r="N96" s="796"/>
      <c r="O96" s="796"/>
      <c r="P96" s="796"/>
      <c r="Q96" s="796"/>
      <c r="R96" s="796"/>
      <c r="S96" s="796"/>
    </row>
    <row r="97" spans="2:19">
      <c r="B97" s="795" t="str">
        <f>B9</f>
        <v>[Fakultät/Fachbereich]</v>
      </c>
      <c r="C97" s="795"/>
      <c r="D97" s="795"/>
      <c r="E97" s="795"/>
      <c r="F97" s="795"/>
      <c r="G97" s="795"/>
      <c r="H97" s="795"/>
      <c r="I97" s="795"/>
      <c r="J97" s="796"/>
      <c r="K97" s="795"/>
      <c r="L97" s="796"/>
      <c r="M97" s="795"/>
      <c r="N97" s="796"/>
      <c r="O97" s="796"/>
      <c r="P97" s="796"/>
      <c r="Q97" s="796"/>
      <c r="R97" s="796"/>
      <c r="S97" s="796"/>
    </row>
    <row r="98" spans="2:19">
      <c r="B98" s="795" t="str">
        <f>B10</f>
        <v>[Department, Institut o.a.]</v>
      </c>
      <c r="C98" s="795"/>
      <c r="D98" s="795"/>
      <c r="E98" s="795"/>
      <c r="F98" s="795"/>
      <c r="G98" s="795"/>
      <c r="H98" s="795"/>
      <c r="I98" s="795"/>
      <c r="J98" s="796"/>
      <c r="K98" s="795"/>
      <c r="L98" s="796"/>
      <c r="M98" s="795"/>
      <c r="N98" s="796"/>
      <c r="O98" s="796"/>
      <c r="P98" s="796"/>
      <c r="Q98" s="796"/>
      <c r="R98" s="796"/>
      <c r="S98" s="796"/>
    </row>
    <row r="99" spans="2:19">
      <c r="B99" s="795" t="str">
        <f>CONCATENATE(B12,": ",B13)</f>
        <v>Lehr- und Forschungsbereich: Mathematik</v>
      </c>
      <c r="C99" s="795"/>
      <c r="D99" s="795"/>
      <c r="E99" s="795"/>
      <c r="F99" s="795"/>
      <c r="G99" s="795"/>
      <c r="H99" s="795"/>
      <c r="I99" s="795"/>
      <c r="J99" s="796"/>
      <c r="K99" s="795"/>
      <c r="L99" s="796"/>
      <c r="M99" s="795"/>
      <c r="N99" s="796"/>
      <c r="O99" s="796"/>
      <c r="P99" s="796"/>
      <c r="Q99" s="796"/>
      <c r="R99" s="796"/>
      <c r="S99" s="796"/>
    </row>
    <row r="100" spans="2:19">
      <c r="B100" s="202"/>
      <c r="C100" s="202"/>
      <c r="D100" s="202"/>
      <c r="E100" s="202"/>
      <c r="F100" s="202"/>
      <c r="G100" s="202"/>
      <c r="H100" s="202"/>
      <c r="I100" s="202"/>
      <c r="J100" s="607"/>
      <c r="K100" s="202"/>
      <c r="L100" s="607"/>
      <c r="M100" s="202"/>
      <c r="N100" s="607"/>
      <c r="O100" s="607"/>
      <c r="P100" s="607"/>
      <c r="Q100" s="607"/>
      <c r="R100" s="607"/>
      <c r="S100" s="607"/>
    </row>
    <row r="101" spans="2:19">
      <c r="B101" s="110" t="s">
        <v>270</v>
      </c>
      <c r="C101" s="206"/>
      <c r="D101" s="206"/>
      <c r="E101" s="206"/>
      <c r="F101" s="206"/>
      <c r="G101" s="206"/>
      <c r="H101" s="206"/>
      <c r="I101" s="206"/>
      <c r="J101" s="208"/>
      <c r="K101" s="206"/>
      <c r="L101" s="208"/>
      <c r="M101" s="206"/>
      <c r="N101" s="208"/>
      <c r="O101" s="208"/>
      <c r="P101" s="208"/>
      <c r="Q101" s="208"/>
      <c r="R101" s="208"/>
      <c r="S101" s="208"/>
    </row>
    <row r="102" spans="2:19">
      <c r="B102" s="909"/>
      <c r="C102" s="910"/>
      <c r="D102" s="910"/>
      <c r="E102" s="910"/>
      <c r="F102" s="910"/>
      <c r="G102" s="910"/>
      <c r="H102" s="910"/>
      <c r="I102" s="910"/>
      <c r="J102" s="544"/>
      <c r="K102" s="910"/>
      <c r="L102" s="544"/>
      <c r="M102" s="910"/>
      <c r="N102" s="544"/>
      <c r="O102" s="544"/>
      <c r="P102" s="544"/>
      <c r="Q102" s="544"/>
      <c r="R102" s="544"/>
      <c r="S102" s="1173"/>
    </row>
    <row r="103" spans="2:19" ht="10.5">
      <c r="B103" s="210"/>
      <c r="C103" s="206"/>
      <c r="D103" s="206"/>
      <c r="E103" s="206"/>
      <c r="F103" s="206"/>
      <c r="G103" s="207" t="s">
        <v>249</v>
      </c>
      <c r="H103" s="817">
        <f>SUM(H107:H126)</f>
        <v>0</v>
      </c>
      <c r="I103" s="208"/>
      <c r="J103" s="208"/>
      <c r="K103" s="206"/>
      <c r="L103" s="208"/>
      <c r="M103" s="206"/>
      <c r="N103" s="208"/>
      <c r="O103" s="1166" t="s">
        <v>266</v>
      </c>
      <c r="P103" s="818">
        <f>SUMPRODUCT(H107:H126,P107:P126)</f>
        <v>0</v>
      </c>
      <c r="Q103" s="208"/>
      <c r="R103" s="208"/>
      <c r="S103" s="1174"/>
    </row>
    <row r="104" spans="2:19">
      <c r="B104" s="210"/>
      <c r="C104" s="206"/>
      <c r="D104" s="206"/>
      <c r="E104" s="206"/>
      <c r="F104" s="206"/>
      <c r="G104" s="207"/>
      <c r="H104" s="798"/>
      <c r="I104" s="206"/>
      <c r="J104" s="208"/>
      <c r="K104" s="206"/>
      <c r="L104" s="208"/>
      <c r="M104" s="206"/>
      <c r="N104" s="207"/>
      <c r="O104" s="208"/>
      <c r="P104" s="819"/>
      <c r="Q104" s="208"/>
      <c r="R104" s="208"/>
      <c r="S104" s="1174"/>
    </row>
    <row r="105" spans="2:19">
      <c r="B105" s="210"/>
      <c r="C105" s="206"/>
      <c r="D105" s="206"/>
      <c r="E105" s="206"/>
      <c r="F105" s="206"/>
      <c r="G105" s="206"/>
      <c r="H105" s="206"/>
      <c r="I105" s="206"/>
      <c r="J105" s="208"/>
      <c r="K105" s="206"/>
      <c r="L105" s="208"/>
      <c r="M105" s="206"/>
      <c r="N105" s="208"/>
      <c r="O105" s="208"/>
      <c r="P105" s="208"/>
      <c r="Q105" s="208"/>
      <c r="R105" s="208"/>
      <c r="S105" s="1174"/>
    </row>
    <row r="106" spans="2:19" ht="10.5">
      <c r="B106" s="1175" t="s">
        <v>250</v>
      </c>
      <c r="C106" s="800" t="s">
        <v>251</v>
      </c>
      <c r="D106" s="238"/>
      <c r="E106" s="238"/>
      <c r="F106" s="238"/>
      <c r="G106" s="238"/>
      <c r="H106" s="239" t="s">
        <v>252</v>
      </c>
      <c r="I106" s="238" t="s">
        <v>253</v>
      </c>
      <c r="J106" s="238"/>
      <c r="K106" s="239"/>
      <c r="L106" s="238"/>
      <c r="M106" s="239"/>
      <c r="N106" s="208"/>
      <c r="O106" s="801" t="s">
        <v>257</v>
      </c>
      <c r="P106" s="238" t="s">
        <v>132</v>
      </c>
      <c r="Q106" s="239"/>
      <c r="R106" s="208"/>
      <c r="S106" s="1174"/>
    </row>
    <row r="107" spans="2:19">
      <c r="B107" s="210" t="str">
        <f>IF(COUNTA(C107)=1,1,"")</f>
        <v/>
      </c>
      <c r="C107" s="802"/>
      <c r="D107" s="803"/>
      <c r="E107" s="803"/>
      <c r="F107" s="803"/>
      <c r="G107" s="803"/>
      <c r="H107" s="804"/>
      <c r="I107" s="802"/>
      <c r="J107" s="803"/>
      <c r="K107" s="803"/>
      <c r="L107" s="803"/>
      <c r="M107" s="803"/>
      <c r="N107" s="803"/>
      <c r="O107" s="805"/>
      <c r="P107" s="806"/>
      <c r="Q107" s="820"/>
      <c r="R107" s="807">
        <f>SUM(O107:P107)</f>
        <v>0</v>
      </c>
      <c r="S107" s="1174"/>
    </row>
    <row r="108" spans="2:19">
      <c r="B108" s="210" t="str">
        <f>IF(COUNTA(C108)=1,MAX(B$107:B107)+1,"")</f>
        <v/>
      </c>
      <c r="C108" s="808"/>
      <c r="D108" s="809"/>
      <c r="E108" s="809"/>
      <c r="F108" s="809"/>
      <c r="G108" s="809"/>
      <c r="H108" s="810"/>
      <c r="I108" s="808"/>
      <c r="J108" s="809"/>
      <c r="K108" s="809"/>
      <c r="L108" s="809"/>
      <c r="M108" s="809"/>
      <c r="N108" s="809"/>
      <c r="O108" s="811"/>
      <c r="P108" s="812"/>
      <c r="Q108" s="821">
        <v>0</v>
      </c>
      <c r="R108" s="807">
        <f>SUM(O108:P108)</f>
        <v>0</v>
      </c>
      <c r="S108" s="1174"/>
    </row>
    <row r="109" spans="2:19">
      <c r="B109" s="210" t="str">
        <f>IF(COUNTA(C109)=1,MAX(B$107:B108)+1,"")</f>
        <v/>
      </c>
      <c r="C109" s="808"/>
      <c r="D109" s="809"/>
      <c r="E109" s="809"/>
      <c r="F109" s="809"/>
      <c r="G109" s="809"/>
      <c r="H109" s="810"/>
      <c r="I109" s="808"/>
      <c r="J109" s="809"/>
      <c r="K109" s="809"/>
      <c r="L109" s="809"/>
      <c r="M109" s="809"/>
      <c r="N109" s="809"/>
      <c r="O109" s="811"/>
      <c r="P109" s="812"/>
      <c r="Q109" s="821"/>
      <c r="R109" s="807">
        <f t="shared" ref="R109:R126" si="2">SUM(O109:P109)</f>
        <v>0</v>
      </c>
      <c r="S109" s="1174"/>
    </row>
    <row r="110" spans="2:19">
      <c r="B110" s="210" t="str">
        <f>IF(COUNTA(C110)=1,MAX(B$107:B109)+1,"")</f>
        <v/>
      </c>
      <c r="C110" s="808"/>
      <c r="D110" s="809"/>
      <c r="E110" s="809"/>
      <c r="F110" s="809"/>
      <c r="G110" s="809"/>
      <c r="H110" s="810"/>
      <c r="I110" s="808"/>
      <c r="J110" s="809"/>
      <c r="K110" s="809"/>
      <c r="L110" s="809"/>
      <c r="M110" s="809"/>
      <c r="N110" s="809"/>
      <c r="O110" s="811"/>
      <c r="P110" s="812"/>
      <c r="Q110" s="821"/>
      <c r="R110" s="807">
        <f t="shared" si="2"/>
        <v>0</v>
      </c>
      <c r="S110" s="1174"/>
    </row>
    <row r="111" spans="2:19">
      <c r="B111" s="210" t="str">
        <f>IF(COUNTA(C111)=1,MAX(B$107:B110)+1,"")</f>
        <v/>
      </c>
      <c r="C111" s="808"/>
      <c r="D111" s="809"/>
      <c r="E111" s="809"/>
      <c r="F111" s="809"/>
      <c r="G111" s="809"/>
      <c r="H111" s="810"/>
      <c r="I111" s="808"/>
      <c r="J111" s="809"/>
      <c r="K111" s="809"/>
      <c r="L111" s="809"/>
      <c r="M111" s="809"/>
      <c r="N111" s="809"/>
      <c r="O111" s="811"/>
      <c r="P111" s="812"/>
      <c r="Q111" s="821"/>
      <c r="R111" s="807">
        <f t="shared" si="2"/>
        <v>0</v>
      </c>
      <c r="S111" s="1174"/>
    </row>
    <row r="112" spans="2:19">
      <c r="B112" s="210" t="str">
        <f>IF(COUNTA(C112)=1,MAX(B$107:B111)+1,"")</f>
        <v/>
      </c>
      <c r="C112" s="808"/>
      <c r="D112" s="809"/>
      <c r="E112" s="809"/>
      <c r="F112" s="809"/>
      <c r="G112" s="809"/>
      <c r="H112" s="810"/>
      <c r="I112" s="808"/>
      <c r="J112" s="809"/>
      <c r="K112" s="809"/>
      <c r="L112" s="809"/>
      <c r="M112" s="809"/>
      <c r="N112" s="809"/>
      <c r="O112" s="811"/>
      <c r="P112" s="812"/>
      <c r="Q112" s="821"/>
      <c r="R112" s="807">
        <f t="shared" si="2"/>
        <v>0</v>
      </c>
      <c r="S112" s="1174"/>
    </row>
    <row r="113" spans="2:19">
      <c r="B113" s="210" t="str">
        <f>IF(COUNTA(C113)=1,MAX(B$107:B112)+1,"")</f>
        <v/>
      </c>
      <c r="C113" s="808"/>
      <c r="D113" s="809"/>
      <c r="E113" s="809"/>
      <c r="F113" s="809"/>
      <c r="G113" s="809"/>
      <c r="H113" s="810"/>
      <c r="I113" s="808"/>
      <c r="J113" s="809"/>
      <c r="K113" s="809"/>
      <c r="L113" s="809"/>
      <c r="M113" s="809"/>
      <c r="N113" s="809"/>
      <c r="O113" s="811"/>
      <c r="P113" s="812"/>
      <c r="Q113" s="821"/>
      <c r="R113" s="807">
        <f t="shared" si="2"/>
        <v>0</v>
      </c>
      <c r="S113" s="1174"/>
    </row>
    <row r="114" spans="2:19">
      <c r="B114" s="210" t="str">
        <f>IF(COUNTA(C114)=1,MAX(B$107:B113)+1,"")</f>
        <v/>
      </c>
      <c r="C114" s="808"/>
      <c r="D114" s="809"/>
      <c r="E114" s="809"/>
      <c r="F114" s="809"/>
      <c r="G114" s="809"/>
      <c r="H114" s="810"/>
      <c r="I114" s="808"/>
      <c r="J114" s="809"/>
      <c r="K114" s="809"/>
      <c r="L114" s="809"/>
      <c r="M114" s="809"/>
      <c r="N114" s="809"/>
      <c r="O114" s="811"/>
      <c r="P114" s="812"/>
      <c r="Q114" s="821"/>
      <c r="R114" s="807">
        <f t="shared" si="2"/>
        <v>0</v>
      </c>
      <c r="S114" s="1174"/>
    </row>
    <row r="115" spans="2:19">
      <c r="B115" s="210" t="str">
        <f>IF(COUNTA(C115)=1,MAX(B$107:B114)+1,"")</f>
        <v/>
      </c>
      <c r="C115" s="808"/>
      <c r="D115" s="809"/>
      <c r="E115" s="809"/>
      <c r="F115" s="809"/>
      <c r="G115" s="809"/>
      <c r="H115" s="810"/>
      <c r="I115" s="808"/>
      <c r="J115" s="809"/>
      <c r="K115" s="809"/>
      <c r="L115" s="809"/>
      <c r="M115" s="809"/>
      <c r="N115" s="809"/>
      <c r="O115" s="811"/>
      <c r="P115" s="812"/>
      <c r="Q115" s="821"/>
      <c r="R115" s="807">
        <f t="shared" si="2"/>
        <v>0</v>
      </c>
      <c r="S115" s="1174"/>
    </row>
    <row r="116" spans="2:19">
      <c r="B116" s="210" t="str">
        <f>IF(COUNTA(C116)=1,MAX(B$107:B115)+1,"")</f>
        <v/>
      </c>
      <c r="C116" s="808"/>
      <c r="D116" s="809"/>
      <c r="E116" s="809"/>
      <c r="F116" s="809"/>
      <c r="G116" s="809"/>
      <c r="H116" s="810"/>
      <c r="I116" s="808"/>
      <c r="J116" s="809"/>
      <c r="K116" s="809"/>
      <c r="L116" s="809"/>
      <c r="M116" s="809"/>
      <c r="N116" s="809"/>
      <c r="O116" s="811"/>
      <c r="P116" s="812"/>
      <c r="Q116" s="821"/>
      <c r="R116" s="807">
        <f t="shared" si="2"/>
        <v>0</v>
      </c>
      <c r="S116" s="1174"/>
    </row>
    <row r="117" spans="2:19">
      <c r="B117" s="210" t="str">
        <f>IF(COUNTA(C117)=1,MAX(B$107:B116)+1,"")</f>
        <v/>
      </c>
      <c r="C117" s="808"/>
      <c r="D117" s="809"/>
      <c r="E117" s="809"/>
      <c r="F117" s="809"/>
      <c r="G117" s="809"/>
      <c r="H117" s="810"/>
      <c r="I117" s="808"/>
      <c r="J117" s="809"/>
      <c r="K117" s="809"/>
      <c r="L117" s="809"/>
      <c r="M117" s="809"/>
      <c r="N117" s="809"/>
      <c r="O117" s="811"/>
      <c r="P117" s="812"/>
      <c r="Q117" s="821"/>
      <c r="R117" s="807">
        <f t="shared" si="2"/>
        <v>0</v>
      </c>
      <c r="S117" s="1174"/>
    </row>
    <row r="118" spans="2:19">
      <c r="B118" s="210" t="str">
        <f>IF(COUNTA(C118)=1,MAX(B$107:B117)+1,"")</f>
        <v/>
      </c>
      <c r="C118" s="808"/>
      <c r="D118" s="809"/>
      <c r="E118" s="809"/>
      <c r="F118" s="809"/>
      <c r="G118" s="809"/>
      <c r="H118" s="810"/>
      <c r="I118" s="808"/>
      <c r="J118" s="809"/>
      <c r="K118" s="809"/>
      <c r="L118" s="809"/>
      <c r="M118" s="809"/>
      <c r="N118" s="809"/>
      <c r="O118" s="811"/>
      <c r="P118" s="812"/>
      <c r="Q118" s="821"/>
      <c r="R118" s="807">
        <f t="shared" si="2"/>
        <v>0</v>
      </c>
      <c r="S118" s="1174"/>
    </row>
    <row r="119" spans="2:19">
      <c r="B119" s="210" t="str">
        <f>IF(COUNTA(C119)=1,MAX(B$107:B118)+1,"")</f>
        <v/>
      </c>
      <c r="C119" s="808"/>
      <c r="D119" s="809"/>
      <c r="E119" s="809"/>
      <c r="F119" s="809"/>
      <c r="G119" s="809"/>
      <c r="H119" s="810"/>
      <c r="I119" s="808"/>
      <c r="J119" s="809"/>
      <c r="K119" s="809"/>
      <c r="L119" s="809"/>
      <c r="M119" s="809"/>
      <c r="N119" s="809"/>
      <c r="O119" s="811"/>
      <c r="P119" s="812"/>
      <c r="Q119" s="821"/>
      <c r="R119" s="807">
        <f t="shared" si="2"/>
        <v>0</v>
      </c>
      <c r="S119" s="1174"/>
    </row>
    <row r="120" spans="2:19">
      <c r="B120" s="210" t="str">
        <f>IF(COUNTA(C120)=1,MAX(B$107:B119)+1,"")</f>
        <v/>
      </c>
      <c r="C120" s="808"/>
      <c r="D120" s="809"/>
      <c r="E120" s="809"/>
      <c r="F120" s="809"/>
      <c r="G120" s="809"/>
      <c r="H120" s="810"/>
      <c r="I120" s="808"/>
      <c r="J120" s="809"/>
      <c r="K120" s="809"/>
      <c r="L120" s="809"/>
      <c r="M120" s="809"/>
      <c r="N120" s="809"/>
      <c r="O120" s="811"/>
      <c r="P120" s="812"/>
      <c r="Q120" s="821"/>
      <c r="R120" s="807">
        <f t="shared" si="2"/>
        <v>0</v>
      </c>
      <c r="S120" s="1174"/>
    </row>
    <row r="121" spans="2:19">
      <c r="B121" s="210" t="str">
        <f>IF(COUNTA(C121)=1,MAX(B$107:B120)+1,"")</f>
        <v/>
      </c>
      <c r="C121" s="808"/>
      <c r="D121" s="809"/>
      <c r="E121" s="809"/>
      <c r="F121" s="809"/>
      <c r="G121" s="809"/>
      <c r="H121" s="810"/>
      <c r="I121" s="808"/>
      <c r="J121" s="809"/>
      <c r="K121" s="809"/>
      <c r="L121" s="809"/>
      <c r="M121" s="809"/>
      <c r="N121" s="809"/>
      <c r="O121" s="811"/>
      <c r="P121" s="812"/>
      <c r="Q121" s="821"/>
      <c r="R121" s="807">
        <f t="shared" si="2"/>
        <v>0</v>
      </c>
      <c r="S121" s="1174"/>
    </row>
    <row r="122" spans="2:19">
      <c r="B122" s="210" t="str">
        <f>IF(COUNTA(C122)=1,MAX(B$107:B121)+1,"")</f>
        <v/>
      </c>
      <c r="C122" s="808"/>
      <c r="D122" s="809"/>
      <c r="E122" s="809"/>
      <c r="F122" s="809"/>
      <c r="G122" s="809"/>
      <c r="H122" s="810"/>
      <c r="I122" s="808"/>
      <c r="J122" s="809"/>
      <c r="K122" s="809"/>
      <c r="L122" s="809"/>
      <c r="M122" s="809"/>
      <c r="N122" s="809"/>
      <c r="O122" s="811"/>
      <c r="P122" s="812"/>
      <c r="Q122" s="821"/>
      <c r="R122" s="807">
        <f t="shared" si="2"/>
        <v>0</v>
      </c>
      <c r="S122" s="1174"/>
    </row>
    <row r="123" spans="2:19">
      <c r="B123" s="210" t="str">
        <f>IF(COUNTA(C123)=1,MAX(B$107:B122)+1,"")</f>
        <v/>
      </c>
      <c r="C123" s="808"/>
      <c r="D123" s="809"/>
      <c r="E123" s="809"/>
      <c r="F123" s="809"/>
      <c r="G123" s="809"/>
      <c r="H123" s="810"/>
      <c r="I123" s="808"/>
      <c r="J123" s="809"/>
      <c r="K123" s="809"/>
      <c r="L123" s="809"/>
      <c r="M123" s="809"/>
      <c r="N123" s="809"/>
      <c r="O123" s="811"/>
      <c r="P123" s="812"/>
      <c r="Q123" s="821"/>
      <c r="R123" s="807">
        <f t="shared" si="2"/>
        <v>0</v>
      </c>
      <c r="S123" s="1174"/>
    </row>
    <row r="124" spans="2:19">
      <c r="B124" s="210" t="str">
        <f>IF(COUNTA(C124)=1,MAX(B$107:B123)+1,"")</f>
        <v/>
      </c>
      <c r="C124" s="808"/>
      <c r="D124" s="809"/>
      <c r="E124" s="809"/>
      <c r="F124" s="809"/>
      <c r="G124" s="809"/>
      <c r="H124" s="810"/>
      <c r="I124" s="808"/>
      <c r="J124" s="809"/>
      <c r="K124" s="809"/>
      <c r="L124" s="809"/>
      <c r="M124" s="809"/>
      <c r="N124" s="809"/>
      <c r="O124" s="811"/>
      <c r="P124" s="812"/>
      <c r="Q124" s="821"/>
      <c r="R124" s="807">
        <f t="shared" si="2"/>
        <v>0</v>
      </c>
      <c r="S124" s="1174"/>
    </row>
    <row r="125" spans="2:19">
      <c r="B125" s="210" t="str">
        <f>IF(COUNTA(C125)=1,MAX(B$107:B124)+1,"")</f>
        <v/>
      </c>
      <c r="C125" s="808"/>
      <c r="D125" s="809"/>
      <c r="E125" s="809"/>
      <c r="F125" s="809"/>
      <c r="G125" s="809"/>
      <c r="H125" s="810"/>
      <c r="I125" s="808"/>
      <c r="J125" s="809"/>
      <c r="K125" s="809"/>
      <c r="L125" s="809"/>
      <c r="M125" s="809"/>
      <c r="N125" s="809"/>
      <c r="O125" s="811"/>
      <c r="P125" s="812"/>
      <c r="Q125" s="821"/>
      <c r="R125" s="807">
        <f t="shared" si="2"/>
        <v>0</v>
      </c>
      <c r="S125" s="1174"/>
    </row>
    <row r="126" spans="2:19">
      <c r="B126" s="210" t="str">
        <f>IF(COUNTA(C126)=1,MAX(B$107:B125)+1,"")</f>
        <v/>
      </c>
      <c r="C126" s="808"/>
      <c r="D126" s="809"/>
      <c r="E126" s="809"/>
      <c r="F126" s="809"/>
      <c r="G126" s="809"/>
      <c r="H126" s="810"/>
      <c r="I126" s="808"/>
      <c r="J126" s="809"/>
      <c r="K126" s="809"/>
      <c r="L126" s="809"/>
      <c r="M126" s="809"/>
      <c r="N126" s="809"/>
      <c r="O126" s="811"/>
      <c r="P126" s="812"/>
      <c r="Q126" s="821"/>
      <c r="R126" s="807">
        <f t="shared" si="2"/>
        <v>0</v>
      </c>
      <c r="S126" s="1174"/>
    </row>
  </sheetData>
  <sheetProtection algorithmName="SHA-512" hashValue="PXo4saj2I/T2bmS17JTIXIgk7R4N2OrgLvaUUNCqjvQosJPUPlms2c63wLCYlB/FzeNtdsEKNtZJvKvFbcvpsQ==" saltValue="EyNS1v+fwtIUTnW7bDQ4Og==" spinCount="100000" sheet="1" selectLockedCells="1"/>
  <mergeCells count="8">
    <mergeCell ref="P1:P2"/>
    <mergeCell ref="Q1:Q2"/>
    <mergeCell ref="D27:E27"/>
    <mergeCell ref="D28:E28"/>
    <mergeCell ref="L1:L2"/>
    <mergeCell ref="M1:M2"/>
    <mergeCell ref="N1:N2"/>
    <mergeCell ref="O1:O2"/>
  </mergeCells>
  <conditionalFormatting sqref="E21">
    <cfRule type="cellIs" dxfId="132" priority="7" stopIfTrue="1" operator="equal">
      <formula>1</formula>
    </cfRule>
  </conditionalFormatting>
  <conditionalFormatting sqref="E86">
    <cfRule type="cellIs" dxfId="131" priority="13" stopIfTrue="1" operator="equal">
      <formula>1</formula>
    </cfRule>
  </conditionalFormatting>
  <conditionalFormatting sqref="N6">
    <cfRule type="cellIs" dxfId="130" priority="6" operator="equal">
      <formula>1</formula>
    </cfRule>
  </conditionalFormatting>
  <conditionalFormatting sqref="N18">
    <cfRule type="cellIs" dxfId="129" priority="5" operator="equal">
      <formula>1</formula>
    </cfRule>
  </conditionalFormatting>
  <conditionalFormatting sqref="N22:N23">
    <cfRule type="cellIs" dxfId="128" priority="22" stopIfTrue="1" operator="equal">
      <formula>0</formula>
    </cfRule>
  </conditionalFormatting>
  <conditionalFormatting sqref="O10">
    <cfRule type="cellIs" dxfId="127" priority="1" operator="equal">
      <formula>1</formula>
    </cfRule>
  </conditionalFormatting>
  <conditionalFormatting sqref="O12">
    <cfRule type="cellIs" dxfId="126" priority="15" operator="equal">
      <formula>1</formula>
    </cfRule>
  </conditionalFormatting>
  <conditionalFormatting sqref="O18 N19:O20">
    <cfRule type="cellIs" dxfId="125" priority="16" stopIfTrue="1" operator="equal">
      <formula>0</formula>
    </cfRule>
  </conditionalFormatting>
  <conditionalFormatting sqref="R107:R126">
    <cfRule type="cellIs" dxfId="124" priority="2" operator="notEqual">
      <formula>1</formula>
    </cfRule>
    <cfRule type="cellIs" dxfId="123" priority="3" operator="equal">
      <formula>1</formula>
    </cfRule>
  </conditionalFormatting>
  <conditionalFormatting sqref="S65">
    <cfRule type="cellIs" dxfId="122" priority="20" operator="equal">
      <formula>1</formula>
    </cfRule>
    <cfRule type="cellIs" dxfId="121" priority="21" operator="notEqual">
      <formula>1</formula>
    </cfRule>
  </conditionalFormatting>
  <dataValidations disablePrompts="1" count="5">
    <dataValidation type="decimal" errorStyle="information" operator="lessThanOrEqual" allowBlank="1" showInputMessage="1" showErrorMessage="1" error="Bitte nur Werte bis max. 15% verwenden." prompt="Bitte nur Werte bis max. 15% verwenden." sqref="E84" xr:uid="{5767B34A-8FD0-46E0-81E0-A7344648E77C}">
      <formula1>0.15</formula1>
    </dataValidation>
    <dataValidation type="list" allowBlank="1" showInputMessage="1" showErrorMessage="1" sqref="Q25:Q29" xr:uid="{64E45B93-40B8-4BD6-AF10-538837B5C8A3}">
      <formula1>"Büro, Labor, Allg. Lehren und Lernen, Fachspez. Lehre, Lager, Weitere STB"</formula1>
    </dataValidation>
    <dataValidation type="list" allowBlank="1" sqref="E86 E21" xr:uid="{948A3457-9EA3-4679-A975-483471953B44}">
      <formula1>"ja, nein"</formula1>
    </dataValidation>
    <dataValidation allowBlank="1" showInputMessage="1" showErrorMessage="1" prompt="Für die weitere Berechnung werden nur Werte bis max. 100% übernommen." sqref="S89" xr:uid="{FD19450D-549F-43E6-B026-AA0F334EC2B4}"/>
    <dataValidation type="list" allowBlank="1" showInputMessage="1" showErrorMessage="1" sqref="O107:P126" xr:uid="{DC7DAD85-EB42-484E-856F-1F3C1F5332E9}">
      <formula1>"0%,50%,100%"</formula1>
    </dataValidation>
  </dataValidations>
  <pageMargins left="0.59055118110236227" right="0.59055118110236227" top="0.78740157480314965" bottom="0.59055118110236227" header="0.51181102362204722" footer="0.27559055118110237"/>
  <pageSetup paperSize="9" scale="79" orientation="portrait" r:id="rId1"/>
  <headerFooter alignWithMargins="0">
    <oddFooter>&amp;C&amp;8Seite &amp;P von &amp;N</oddFooter>
  </headerFooter>
  <rowBreaks count="1" manualBreakCount="1">
    <brk id="51" max="18"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27</vt:i4>
      </vt:variant>
      <vt:variant>
        <vt:lpstr>Benannte Bereiche</vt:lpstr>
      </vt:variant>
      <vt:variant>
        <vt:i4>27</vt:i4>
      </vt:variant>
    </vt:vector>
  </HeadingPairs>
  <TitlesOfParts>
    <vt:vector size="54" baseType="lpstr">
      <vt:lpstr>HAW</vt:lpstr>
      <vt:lpstr>HAW-Kennwerte</vt:lpstr>
      <vt:lpstr>Labor-Typen</vt:lpstr>
      <vt:lpstr>HAW-Kennwerte_ZE</vt:lpstr>
      <vt:lpstr>Auslast_Büro</vt:lpstr>
      <vt:lpstr>Bedarf gesamt</vt:lpstr>
      <vt:lpstr>Bedarf gesamt (2)</vt:lpstr>
      <vt:lpstr>Naturwiss</vt:lpstr>
      <vt:lpstr>Mathe</vt:lpstr>
      <vt:lpstr>Arch</vt:lpstr>
      <vt:lpstr>Bauing</vt:lpstr>
      <vt:lpstr>E-I-Technik</vt:lpstr>
      <vt:lpstr>Informatik</vt:lpstr>
      <vt:lpstr>Maschbau</vt:lpstr>
      <vt:lpstr>Wi-ing</vt:lpstr>
      <vt:lpstr>Design</vt:lpstr>
      <vt:lpstr>Ernährung</vt:lpstr>
      <vt:lpstr>Gesund</vt:lpstr>
      <vt:lpstr>Sowi</vt:lpstr>
      <vt:lpstr>Wiwi</vt:lpstr>
      <vt:lpstr>Verwaltung</vt:lpstr>
      <vt:lpstr>Bibliothek</vt:lpstr>
      <vt:lpstr>Checkliste</vt:lpstr>
      <vt:lpstr>StPl-Berechnung</vt:lpstr>
      <vt:lpstr>StPl-Summen</vt:lpstr>
      <vt:lpstr>KWV-NB und RNS</vt:lpstr>
      <vt:lpstr>KWV-NB Key</vt:lpstr>
      <vt:lpstr>Arch!Druckbereich</vt:lpstr>
      <vt:lpstr>Auslast_Büro!Druckbereich</vt:lpstr>
      <vt:lpstr>Bauing!Druckbereich</vt:lpstr>
      <vt:lpstr>'Bedarf gesamt'!Druckbereich</vt:lpstr>
      <vt:lpstr>'Bedarf gesamt (2)'!Druckbereich</vt:lpstr>
      <vt:lpstr>Bibliothek!Druckbereich</vt:lpstr>
      <vt:lpstr>Design!Druckbereich</vt:lpstr>
      <vt:lpstr>'E-I-Technik'!Druckbereich</vt:lpstr>
      <vt:lpstr>Ernährung!Druckbereich</vt:lpstr>
      <vt:lpstr>Gesund!Druckbereich</vt:lpstr>
      <vt:lpstr>HAW!Druckbereich</vt:lpstr>
      <vt:lpstr>'HAW-Kennwerte'!Druckbereich</vt:lpstr>
      <vt:lpstr>'HAW-Kennwerte_ZE'!Druckbereich</vt:lpstr>
      <vt:lpstr>Informatik!Druckbereich</vt:lpstr>
      <vt:lpstr>'KWV-NB Key'!Druckbereich</vt:lpstr>
      <vt:lpstr>'KWV-NB und RNS'!Druckbereich</vt:lpstr>
      <vt:lpstr>'Labor-Typen'!Druckbereich</vt:lpstr>
      <vt:lpstr>Maschbau!Druckbereich</vt:lpstr>
      <vt:lpstr>Mathe!Druckbereich</vt:lpstr>
      <vt:lpstr>Naturwiss!Druckbereich</vt:lpstr>
      <vt:lpstr>Sowi!Druckbereich</vt:lpstr>
      <vt:lpstr>'StPl-Berechnung'!Druckbereich</vt:lpstr>
      <vt:lpstr>'StPl-Summen'!Druckbereich</vt:lpstr>
      <vt:lpstr>Verwaltung!Druckbereich</vt:lpstr>
      <vt:lpstr>'Wi-ing'!Druckbereich</vt:lpstr>
      <vt:lpstr>Wiwi!Druckbereich</vt:lpstr>
      <vt:lpstr>'KWV-NB und RNS'!Drucktitel</vt:lpstr>
    </vt:vector>
  </TitlesOfParts>
  <Company>HIS-Institut für Hochschulentwicklung e.V.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Kennwertverfahren NRW 2026, HAW (24.04.2026)</dc:title>
  <dc:subject/>
  <dc:creator>Jongmanns</dc:creator>
  <dc:description>Stand: 17.10.2025</dc:description>
  <cp:lastModifiedBy>Jongmanns, Dr.Georg</cp:lastModifiedBy>
  <cp:lastPrinted>2026-04-23T09:24:27Z</cp:lastPrinted>
  <dcterms:created xsi:type="dcterms:W3CDTF">2006-05-08T08:51:12Z</dcterms:created>
  <dcterms:modified xsi:type="dcterms:W3CDTF">2026-04-27T14:53:53Z</dcterms:modified>
</cp:coreProperties>
</file>